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E18E5640-35F9-41A7-B3C4-48C28060B577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Graubünden" sheetId="27" r:id="rId1"/>
    <sheet name="Uebersetzungen" sheetId="29" state="hidden" r:id="rId2"/>
  </sheets>
  <definedNames>
    <definedName name="_xlnm.Print_Area" localSheetId="0">Graubünden!$A$1:$K$56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27" l="1"/>
  <c r="A55" i="27"/>
  <c r="A53" i="27"/>
  <c r="A52" i="27"/>
  <c r="A51" i="27"/>
  <c r="A50" i="27"/>
  <c r="J14" i="27"/>
  <c r="I14" i="27"/>
  <c r="H14" i="27"/>
  <c r="G14" i="27"/>
  <c r="F14" i="27"/>
  <c r="E14" i="27"/>
  <c r="D14" i="27"/>
  <c r="C14" i="27"/>
  <c r="I13" i="27"/>
  <c r="G13" i="27"/>
  <c r="E13" i="27"/>
  <c r="C13" i="27"/>
  <c r="B34" i="27" l="1"/>
  <c r="B33" i="27"/>
  <c r="B32" i="27"/>
  <c r="A32" i="27"/>
  <c r="B31" i="27"/>
  <c r="B30" i="27"/>
  <c r="B29" i="27"/>
  <c r="B28" i="27"/>
  <c r="B27" i="27"/>
  <c r="B26" i="27" l="1"/>
  <c r="B25" i="27"/>
  <c r="B24" i="27"/>
  <c r="B23" i="27"/>
  <c r="B21" i="27" l="1"/>
  <c r="A10" i="27" l="1"/>
  <c r="A9" i="27"/>
  <c r="A7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22" i="27"/>
  <c r="B20" i="27"/>
  <c r="B19" i="27"/>
  <c r="B18" i="27"/>
  <c r="B16" i="27"/>
  <c r="B17" i="27"/>
  <c r="A16" i="27"/>
  <c r="A46" i="27"/>
  <c r="A35" i="27"/>
  <c r="A27" i="27"/>
  <c r="A22" i="27"/>
  <c r="A18" i="27"/>
  <c r="A15" i="27"/>
</calcChain>
</file>

<file path=xl/sharedStrings.xml><?xml version="1.0" encoding="utf-8"?>
<sst xmlns="http://schemas.openxmlformats.org/spreadsheetml/2006/main" count="264" uniqueCount="227">
  <si>
    <t>Total</t>
  </si>
  <si>
    <t>Anzahl Personen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</si>
  <si>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</si>
  <si>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</si>
  <si>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</si>
  <si>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</si>
  <si>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</si>
  <si>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</si>
  <si>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</si>
  <si>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</si>
  <si>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</si>
  <si>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</si>
  <si>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</si>
  <si>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</si>
  <si>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</si>
  <si>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</si>
  <si>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</si>
  <si>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</si>
  <si>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</si>
  <si>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</si>
  <si>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</si>
  <si>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</si>
  <si>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</si>
  <si>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</si>
  <si>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</si>
  <si>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</si>
  <si>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</si>
  <si>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</si>
  <si>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</si>
  <si>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Quelle: BFS (Strukturerhebung)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</si>
  <si>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</si>
  <si>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</si>
  <si>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</si>
  <si>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</si>
  <si>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</si>
  <si>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</si>
  <si>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</si>
  <si>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</si>
  <si>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</si>
  <si>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</si>
  <si>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&lt;SpaltenTitel_1&gt;</t>
  </si>
  <si>
    <t>&lt;SpaltenTitel_2&gt;</t>
  </si>
  <si>
    <t>&lt;SpaltenTitel_3&gt;</t>
  </si>
  <si>
    <t>&lt;Legende_1&gt;</t>
  </si>
  <si>
    <t>&lt;Legende_2&gt;</t>
  </si>
  <si>
    <t>&lt;Legende_3&gt;</t>
  </si>
  <si>
    <t>&lt;Legende_4&gt;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</si>
  <si>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</si>
  <si>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</si>
  <si>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</si>
  <si>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</si>
  <si>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</si>
  <si>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</si>
  <si>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</si>
  <si>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</si>
  <si>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</si>
  <si>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</si>
  <si>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</si>
  <si>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</si>
  <si>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</si>
  <si>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</si>
  <si>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</si>
  <si>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</si>
  <si>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</si>
  <si>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</si>
  <si>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</si>
  <si>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</si>
  <si>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</si>
  <si>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</si>
  <si>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</si>
  <si>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</si>
  <si>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</si>
  <si>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</si>
  <si>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</si>
  <si>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</si>
  <si>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</si>
  <si>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</si>
  <si>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</si>
  <si>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</si>
  <si>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</si>
  <si>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</si>
  <si>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</si>
  <si>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</si>
  <si>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</si>
  <si>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</si>
  <si>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</si>
  <si>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</si>
  <si>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</si>
  <si>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Numero di persone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</si>
  <si>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</si>
  <si>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</si>
  <si>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</si>
  <si>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</si>
  <si>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</si>
  <si>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</si>
  <si>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</si>
  <si>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</si>
  <si>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</si>
  <si>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</si>
  <si>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</si>
  <si>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</si>
  <si>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</si>
  <si>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</si>
  <si>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</si>
  <si>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</si>
  <si>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</si>
  <si>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</si>
  <si>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</si>
  <si>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</si>
  <si>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</si>
  <si>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</si>
  <si>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</si>
  <si>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</si>
  <si>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</si>
  <si>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</si>
  <si>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</si>
  <si>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</si>
  <si>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</si>
  <si>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</si>
  <si>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</si>
  <si>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</si>
  <si>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</si>
  <si>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</si>
  <si>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</si>
  <si>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</si>
  <si>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</si>
  <si>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</si>
  <si>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</si>
  <si>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</si>
  <si>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</si>
  <si>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</si>
  <si>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</si>
  <si>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Dumber da persunas</t>
  </si>
  <si>
    <t>Funtauna: UST (enquista da structura)</t>
  </si>
  <si>
    <t>&lt;SpaltenTitel_4&gt;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</si>
  <si>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</si>
  <si>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</si>
  <si>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</si>
  <si>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</si>
  <si>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</si>
  <si>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</si>
  <si>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</si>
  <si>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65 und älter</t>
  </si>
  <si>
    <t>65 e dapli</t>
  </si>
  <si>
    <t>65 e più</t>
  </si>
  <si>
    <t>Svizzera</t>
  </si>
  <si>
    <t>Svizra</t>
  </si>
  <si>
    <t>Schweiz</t>
  </si>
  <si>
    <t>&lt;T2Zeilentitel_5.3&gt;</t>
  </si>
  <si>
    <t>Ohne nachobligatorische Aubildung</t>
  </si>
  <si>
    <t>Senza furmaziun postobligatorica</t>
  </si>
  <si>
    <t>&lt;SpaltenTitel_5&gt;</t>
  </si>
  <si>
    <t>&lt;SpaltenTitel_6&gt;</t>
  </si>
  <si>
    <t>&lt;SpaltenTitel_7&gt;</t>
  </si>
  <si>
    <t>&lt;SpaltenTitel_8&gt;</t>
  </si>
  <si>
    <t>Ständige Wohnbevölkerung ab 15 Jahren</t>
  </si>
  <si>
    <t>Populaziun residenta permanenta a partir da 15 onns</t>
  </si>
  <si>
    <t>Popolazione residente permanente di 15 anni e più</t>
  </si>
  <si>
    <t>Vertrauens- intervall: 
± (in %)</t>
  </si>
  <si>
    <t>Interval da confidenza: 
± (en %)</t>
  </si>
  <si>
    <t>Intervallo di confidenza: 
± (in %)</t>
  </si>
  <si>
    <t>Migrationsstatus</t>
  </si>
  <si>
    <t>Status migratorio</t>
  </si>
  <si>
    <t>Status da migraziun</t>
  </si>
  <si>
    <t>45-64</t>
  </si>
  <si>
    <t>25-44</t>
  </si>
  <si>
    <t>&lt;T2Zeilentitel_4.3&gt;</t>
  </si>
  <si>
    <t>&lt;T2Zeilentitel_4.4&gt;</t>
  </si>
  <si>
    <t>EU und EFTA</t>
  </si>
  <si>
    <t>Anderer europäischer Staat</t>
  </si>
  <si>
    <t>Andere Staaten</t>
  </si>
  <si>
    <t>Staatsangehörigkeit unbekannt</t>
  </si>
  <si>
    <t>&lt;T2Zeilentitel_4.5&gt;</t>
  </si>
  <si>
    <t>UE ed AECL</t>
  </si>
  <si>
    <t>In auter pajais europeic</t>
  </si>
  <si>
    <t>Auters stadis</t>
  </si>
  <si>
    <t>Naziunalitad n'è betg enconuschenta</t>
  </si>
  <si>
    <t>UE e EFTA</t>
  </si>
  <si>
    <t>Altro paese europeo</t>
  </si>
  <si>
    <t>Altri paesi</t>
  </si>
  <si>
    <t>Nazionalità sconosciuta</t>
  </si>
  <si>
    <t>&lt;Legende_5&gt;</t>
  </si>
  <si>
    <t>&lt;T2Zeilentitel_6.3&gt;</t>
  </si>
  <si>
    <t>&lt;T2Zeilentitel_6.2&gt;</t>
  </si>
  <si>
    <t>&lt;T2Zeilentitel_6.1&gt;</t>
  </si>
  <si>
    <t>&lt;T2Zeilentitel_5.4&gt;</t>
  </si>
  <si>
    <t>&lt;T2Zeilentitel_5.5&gt;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</si>
  <si>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</si>
  <si>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</si>
  <si>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</si>
  <si>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</si>
  <si>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</si>
  <si>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Ständige Wohnbevölkerung nach Anzahl Hauptsprachen in Graubünden</t>
  </si>
  <si>
    <t>Populaziun residenta permanenta tenor il dumber da linguas principalas en il Grischun</t>
  </si>
  <si>
    <t>Popolazione residente permanente per il numero di lingue principale nei Grigioni</t>
  </si>
  <si>
    <t>Eine Hauptsprache</t>
  </si>
  <si>
    <t>Drei oder mehr Hauptsprachen</t>
  </si>
  <si>
    <t>Zwei Hauptsprachen</t>
  </si>
  <si>
    <t>Ina lingua principala</t>
  </si>
  <si>
    <t>Duas linguas principalas</t>
  </si>
  <si>
    <t>Trais u dapli linguas principalas</t>
  </si>
  <si>
    <t>Una lingua principale</t>
  </si>
  <si>
    <t>Due lingue principali</t>
  </si>
  <si>
    <t>Tre o più lingue principali</t>
  </si>
  <si>
    <t>(): Estrapolazione basata su 49 osservazioni o meno. I risultati devono essere interpretati con molta cautela.</t>
  </si>
  <si>
    <t>X: Estrapolazione basata su 4 o meno osservazioni. I risultati non sono pubblicati per motivi di protezione dei dati.</t>
  </si>
  <si>
    <t>La popolazione dell'indagine sulla struttura comprende tutte le persone della popolazione residente permanente di età pari o superiore ai 15 anni che vivono in famiglie.</t>
  </si>
  <si>
    <t>Oltre alle persone che vivono in economie domestiche collettive, sono stati esclusi i diplomatici, i funzionari internazionali e i loro familiari.</t>
  </si>
  <si>
    <t>(): Extrapolaziun sin basa da 49 u damain observaziuns. Ils resultats ston vegnir interpretads cun gronda precauziun.</t>
  </si>
  <si>
    <t>X: Extrapolaziun pervia da 4 u damain observaziuns. Per motivs da la protecziun da datas na vegnan ils resultats betg publitgads.</t>
  </si>
  <si>
    <t>La survista da basa da l'enquista da structura cumpiglia tut las persunas da la populaziun residenta permanenta a partir da 15 onns che vivan en chasadas privatas.</t>
  </si>
  <si>
    <t>Exclus da la totalitad fundamentala èn vegnids ultra da las persunas che vivan en chasadas collectivas er diplomats, funcziunaris internaziunals e lur confamigliars.</t>
  </si>
  <si>
    <t>Fonte: UST - (rilevazione strutturale)</t>
  </si>
  <si>
    <t>Svizzers senza retroterra da migraziun</t>
  </si>
  <si>
    <t>Svizzers cun ina migraziun</t>
  </si>
  <si>
    <t>Persunas estras da l'emprima generaziun</t>
  </si>
  <si>
    <t>Persunas estras da la segunda generaziun e da l'emprima</t>
  </si>
  <si>
    <t>La migraziun n'è betg enconuschenta</t>
  </si>
  <si>
    <t>Svizzeri/e senza un passato migratorio</t>
  </si>
  <si>
    <t>Svizzeri/e con un passato migratorio</t>
  </si>
  <si>
    <t>Stranieri/e di prima generazione</t>
  </si>
  <si>
    <t>Stranieri/e di seconda generazione e più</t>
  </si>
  <si>
    <t>Passato migratorio sconosciuto</t>
  </si>
  <si>
    <t>X</t>
  </si>
  <si>
    <t>Letztmals aktualisiert am: 05.03.2026</t>
  </si>
  <si>
    <t>Ultima actualisaziun: 05.03.2026</t>
  </si>
  <si>
    <t>Ulimo aggiornamento: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</si>
</sst>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#0\)"/>
    <numFmt numFmtId="172" formatCode="\(#\'##0\)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95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1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0" fillId="4" borderId="0" xfId="0" applyFill="1"/>
    <xf numFmtId="0" fontId="14" fillId="4" borderId="0" xfId="0" applyFont="1" applyFill="1"/>
    <xf numFmtId="0" fontId="11" fillId="3" borderId="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12" fillId="3" borderId="12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8" fillId="4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1" fillId="3" borderId="0" xfId="4" applyNumberFormat="1" applyFont="1" applyFill="1" applyBorder="1" applyAlignment="1" applyProtection="1">
      <alignment horizontal="left" vertical="top"/>
    </xf>
    <xf numFmtId="0" fontId="11" fillId="3" borderId="25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4" borderId="27" xfId="1" applyNumberFormat="1" applyFont="1" applyFill="1" applyBorder="1" applyAlignment="1" applyProtection="1">
      <alignment horizontal="right" vertical="top" wrapText="1"/>
    </xf>
    <xf numFmtId="0" fontId="11" fillId="4" borderId="28" xfId="1" applyNumberFormat="1" applyFont="1" applyFill="1" applyBorder="1" applyAlignment="1" applyProtection="1">
      <alignment horizontal="right" vertical="top" wrapText="1"/>
    </xf>
    <xf numFmtId="0" fontId="11" fillId="4" borderId="29" xfId="1" applyNumberFormat="1" applyFont="1" applyFill="1" applyBorder="1" applyAlignment="1" applyProtection="1">
      <alignment horizontal="right" vertical="top" wrapText="1"/>
    </xf>
    <xf numFmtId="0" fontId="11" fillId="4" borderId="35" xfId="1" applyNumberFormat="1" applyFont="1" applyFill="1" applyBorder="1" applyAlignment="1" applyProtection="1">
      <alignment horizontal="right" vertical="top" wrapText="1"/>
    </xf>
    <xf numFmtId="0" fontId="11" fillId="4" borderId="30" xfId="1" applyNumberFormat="1" applyFont="1" applyFill="1" applyBorder="1" applyAlignment="1" applyProtection="1">
      <alignment horizontal="right" vertical="top" wrapText="1"/>
    </xf>
    <xf numFmtId="0" fontId="11" fillId="4" borderId="31" xfId="1" applyNumberFormat="1" applyFont="1" applyFill="1" applyBorder="1" applyAlignment="1" applyProtection="1">
      <alignment horizontal="right" vertical="top" wrapText="1"/>
    </xf>
    <xf numFmtId="0" fontId="8" fillId="4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 vertical="center" wrapText="1"/>
    </xf>
    <xf numFmtId="167" fontId="3" fillId="4" borderId="0" xfId="3" applyNumberFormat="1" applyFont="1" applyFill="1" applyBorder="1" applyAlignment="1" applyProtection="1">
      <alignment horizontal="right" vertical="center" wrapText="1"/>
    </xf>
    <xf numFmtId="168" fontId="3" fillId="4" borderId="0" xfId="3" applyNumberFormat="1" applyFont="1" applyFill="1" applyBorder="1" applyAlignment="1" applyProtection="1">
      <alignment horizontal="right" vertical="center" wrapText="1"/>
    </xf>
    <xf numFmtId="167" fontId="3" fillId="4" borderId="36" xfId="3" applyNumberFormat="1" applyFont="1" applyFill="1" applyBorder="1" applyAlignment="1" applyProtection="1">
      <alignment horizontal="right" vertical="center" wrapText="1"/>
    </xf>
    <xf numFmtId="170" fontId="18" fillId="4" borderId="24" xfId="3" applyNumberFormat="1" applyFont="1" applyFill="1" applyBorder="1" applyAlignment="1" applyProtection="1">
      <alignment horizontal="right" vertical="center" wrapText="1"/>
    </xf>
    <xf numFmtId="167" fontId="18" fillId="4" borderId="35" xfId="3" applyNumberFormat="1" applyFont="1" applyFill="1" applyBorder="1" applyAlignment="1" applyProtection="1">
      <alignment horizontal="right" vertical="center" wrapText="1"/>
    </xf>
    <xf numFmtId="3" fontId="3" fillId="4" borderId="6" xfId="3" applyNumberFormat="1" applyFont="1" applyFill="1" applyBorder="1" applyAlignment="1" applyProtection="1">
      <alignment horizontal="right" vertical="center" wrapText="1"/>
    </xf>
    <xf numFmtId="172" fontId="3" fillId="4" borderId="6" xfId="3" applyNumberFormat="1" applyFont="1" applyFill="1" applyBorder="1" applyAlignment="1" applyProtection="1">
      <alignment horizontal="right" vertical="center" wrapText="1"/>
    </xf>
    <xf numFmtId="171" fontId="3" fillId="4" borderId="6" xfId="3" applyNumberFormat="1" applyFont="1" applyFill="1" applyBorder="1" applyAlignment="1" applyProtection="1">
      <alignment horizontal="right" vertical="center" wrapText="1"/>
    </xf>
    <xf numFmtId="3" fontId="3" fillId="4" borderId="8" xfId="3" applyNumberFormat="1" applyFont="1" applyFill="1" applyBorder="1" applyAlignment="1" applyProtection="1">
      <alignment horizontal="right" vertical="center" wrapText="1"/>
    </xf>
    <xf numFmtId="167" fontId="3" fillId="4" borderId="37" xfId="3" applyNumberFormat="1" applyFont="1" applyFill="1" applyBorder="1" applyAlignment="1" applyProtection="1">
      <alignment horizontal="right" vertical="center" wrapText="1"/>
    </xf>
    <xf numFmtId="3" fontId="3" fillId="4" borderId="24" xfId="3" applyNumberFormat="1" applyFont="1" applyFill="1" applyBorder="1" applyAlignment="1" applyProtection="1">
      <alignment horizontal="right" vertical="center" wrapText="1"/>
    </xf>
    <xf numFmtId="167" fontId="3" fillId="4" borderId="35" xfId="3" applyNumberFormat="1" applyFont="1" applyFill="1" applyBorder="1" applyAlignment="1" applyProtection="1">
      <alignment horizontal="right" vertical="center" wrapText="1"/>
    </xf>
    <xf numFmtId="3" fontId="3" fillId="4" borderId="26" xfId="3" applyNumberFormat="1" applyFont="1" applyFill="1" applyBorder="1" applyAlignment="1" applyProtection="1">
      <alignment horizontal="right" vertical="center" wrapText="1"/>
    </xf>
    <xf numFmtId="167" fontId="18" fillId="4" borderId="28" xfId="3" applyNumberFormat="1" applyFont="1" applyFill="1" applyBorder="1" applyAlignment="1" applyProtection="1">
      <alignment horizontal="right" vertical="center" wrapText="1"/>
    </xf>
    <xf numFmtId="170" fontId="18" fillId="4" borderId="29" xfId="3" applyNumberFormat="1" applyFont="1" applyFill="1" applyBorder="1" applyAlignment="1" applyProtection="1">
      <alignment horizontal="right" vertical="center" wrapText="1"/>
    </xf>
    <xf numFmtId="167" fontId="3" fillId="4" borderId="28" xfId="3" applyNumberFormat="1" applyFont="1" applyFill="1" applyBorder="1" applyAlignment="1" applyProtection="1">
      <alignment horizontal="right" vertical="center" wrapText="1"/>
    </xf>
    <xf numFmtId="3" fontId="3" fillId="4" borderId="29" xfId="3" applyNumberFormat="1" applyFont="1" applyFill="1" applyBorder="1" applyAlignment="1" applyProtection="1">
      <alignment horizontal="right" vertical="center" wrapText="1"/>
    </xf>
    <xf numFmtId="167" fontId="3" fillId="4" borderId="32" xfId="3" applyNumberFormat="1" applyFont="1" applyFill="1" applyBorder="1" applyAlignment="1" applyProtection="1">
      <alignment horizontal="right" vertical="center" wrapText="1"/>
    </xf>
    <xf numFmtId="3" fontId="3" fillId="4" borderId="33" xfId="3" applyNumberFormat="1" applyFont="1" applyFill="1" applyBorder="1" applyAlignment="1" applyProtection="1">
      <alignment horizontal="right" vertical="center" wrapText="1"/>
    </xf>
    <xf numFmtId="167" fontId="3" fillId="4" borderId="5" xfId="3" applyNumberFormat="1" applyFont="1" applyFill="1" applyBorder="1" applyAlignment="1" applyProtection="1">
      <alignment horizontal="right" vertical="center" wrapText="1"/>
    </xf>
    <xf numFmtId="3" fontId="3" fillId="4" borderId="4" xfId="3" applyNumberFormat="1" applyFont="1" applyFill="1" applyBorder="1" applyAlignment="1" applyProtection="1">
      <alignment horizontal="right" vertical="center" wrapText="1"/>
    </xf>
    <xf numFmtId="168" fontId="3" fillId="4" borderId="5" xfId="3" applyNumberFormat="1" applyFont="1" applyFill="1" applyBorder="1" applyAlignment="1" applyProtection="1">
      <alignment horizontal="right" vertical="center" wrapText="1"/>
    </xf>
    <xf numFmtId="172" fontId="3" fillId="4" borderId="4" xfId="3" applyNumberFormat="1" applyFont="1" applyFill="1" applyBorder="1" applyAlignment="1" applyProtection="1">
      <alignment horizontal="right" vertical="center" wrapText="1"/>
    </xf>
    <xf numFmtId="171" fontId="3" fillId="4" borderId="4" xfId="3" applyNumberFormat="1" applyFont="1" applyFill="1" applyBorder="1" applyAlignment="1" applyProtection="1">
      <alignment horizontal="right" vertical="center" wrapText="1"/>
    </xf>
    <xf numFmtId="167" fontId="3" fillId="4" borderId="9" xfId="3" applyNumberFormat="1" applyFont="1" applyFill="1" applyBorder="1" applyAlignment="1" applyProtection="1">
      <alignment horizontal="right" vertical="center" wrapText="1"/>
    </xf>
    <xf numFmtId="3" fontId="3" fillId="4" borderId="10" xfId="3" applyNumberFormat="1" applyFont="1" applyFill="1" applyBorder="1" applyAlignment="1" applyProtection="1">
      <alignment horizontal="right" vertical="center" wrapText="1"/>
    </xf>
    <xf numFmtId="167" fontId="18" fillId="4" borderId="31" xfId="3" applyNumberFormat="1" applyFont="1" applyFill="1" applyBorder="1" applyAlignment="1" applyProtection="1">
      <alignment horizontal="right" vertical="center" wrapText="1"/>
    </xf>
    <xf numFmtId="167" fontId="3" fillId="4" borderId="31" xfId="3" applyNumberFormat="1" applyFont="1" applyFill="1" applyBorder="1" applyAlignment="1" applyProtection="1">
      <alignment horizontal="right" vertical="center" wrapText="1"/>
    </xf>
    <xf numFmtId="167" fontId="3" fillId="4" borderId="34" xfId="3" applyNumberFormat="1" applyFont="1" applyFill="1" applyBorder="1" applyAlignment="1" applyProtection="1">
      <alignment horizontal="right" vertical="center" wrapText="1"/>
    </xf>
    <xf numFmtId="168" fontId="3" fillId="4" borderId="7" xfId="3" applyNumberFormat="1" applyFont="1" applyFill="1" applyBorder="1" applyAlignment="1" applyProtection="1">
      <alignment horizontal="right" vertical="center" wrapText="1"/>
    </xf>
    <xf numFmtId="167" fontId="3" fillId="4" borderId="7" xfId="3" applyNumberFormat="1" applyFont="1" applyFill="1" applyBorder="1" applyAlignment="1" applyProtection="1">
      <alignment horizontal="right" vertical="center" wrapText="1"/>
    </xf>
    <xf numFmtId="171" fontId="3" fillId="4" borderId="29" xfId="3" applyNumberFormat="1" applyFont="1" applyFill="1" applyBorder="1" applyAlignment="1" applyProtection="1">
      <alignment horizontal="right" vertical="center" wrapText="1"/>
    </xf>
    <xf numFmtId="168" fontId="3" fillId="4" borderId="31" xfId="3" applyNumberFormat="1" applyFont="1" applyFill="1" applyBorder="1" applyAlignment="1" applyProtection="1">
      <alignment horizontal="right" vertical="center" wrapText="1"/>
    </xf>
    <xf numFmtId="167" fontId="3" fillId="4" borderId="11" xfId="3" applyNumberFormat="1" applyFont="1" applyFill="1" applyBorder="1" applyAlignment="1" applyProtection="1">
      <alignment horizontal="right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showGridLines="0" tabSelected="1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10" width="9.5" style="6" customWidth="1"/>
    <col min="11" max="16384" width="11" style="6"/>
  </cols>
  <sheetData>
    <row r="1" spans="1:11" s="1" customFormat="1" x14ac:dyDescent="0.2"/>
    <row r="2" spans="1:11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</row>
    <row r="3" spans="1:11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</row>
    <row r="4" spans="1:11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</row>
    <row r="5" spans="1:11" s="1" customFormat="1" x14ac:dyDescent="0.2"/>
    <row r="6" spans="1:11" s="1" customFormat="1" x14ac:dyDescent="0.2"/>
    <row r="7" spans="1:11" s="1" customFormat="1" ht="15.75" customHeight="1" x14ac:dyDescent="0.2">
      <c r="A7" s="52" t="str">
        <f>VLOOKUP("&lt;Fachbereich&gt;",Uebersetzungen!$B$3:$E$3,Uebersetzungen!$B$2+1,FALSE)</f>
        <v>Daten &amp; Statistik</v>
      </c>
      <c r="B7" s="52"/>
      <c r="C7" s="52"/>
      <c r="D7" s="52"/>
      <c r="E7" s="35"/>
      <c r="F7" s="35"/>
      <c r="G7" s="37"/>
      <c r="H7" s="37"/>
      <c r="I7" s="37"/>
      <c r="J7" s="37"/>
      <c r="K7" s="12"/>
    </row>
    <row r="8" spans="1:11" s="1" customFormat="1" x14ac:dyDescent="0.2"/>
    <row r="9" spans="1:11" ht="18" x14ac:dyDescent="0.2">
      <c r="A9" s="3" t="str">
        <f>VLOOKUP("&lt;T2Titel&gt;",Uebersetzungen!$B$3:$E$72,Uebersetzungen!$B$2+1,FALSE)</f>
        <v>Ständige Wohnbevölkerung nach Anzahl Hauptsprachen in Graubünden</v>
      </c>
      <c r="B9" s="4"/>
      <c r="C9" s="5"/>
      <c r="D9" s="5"/>
      <c r="E9" s="5"/>
      <c r="F9" s="5"/>
      <c r="G9" s="5"/>
      <c r="H9" s="5"/>
      <c r="I9" s="5"/>
      <c r="J9" s="5"/>
    </row>
    <row r="10" spans="1:11" x14ac:dyDescent="0.2">
      <c r="A10" s="7" t="str">
        <f>VLOOKUP("&lt;T2UTitel&gt;",Uebersetzungen!$B$3:$E$72,Uebersetzungen!$B$2+1,FALSE)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</row>
    <row r="11" spans="1:11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</row>
    <row r="12" spans="1:11" ht="18" x14ac:dyDescent="0.25">
      <c r="A12" s="8"/>
      <c r="B12" s="8"/>
      <c r="C12" s="57">
        <v>2024</v>
      </c>
      <c r="D12" s="58"/>
      <c r="E12" s="58"/>
      <c r="F12" s="58"/>
      <c r="G12" s="58"/>
      <c r="H12" s="58"/>
      <c r="I12" s="58"/>
      <c r="J12" s="59"/>
    </row>
    <row r="13" spans="1:11" ht="37.5" customHeight="1" x14ac:dyDescent="0.2">
      <c r="B13" s="53"/>
      <c r="C13" s="55" t="str">
        <f>VLOOKUP("&lt;SpaltenTitel_1&gt;",Uebersetzungen!$B$3:$E$333,Uebersetzungen!$B$2+1,FALSE)</f>
        <v>Total</v>
      </c>
      <c r="D13" s="56"/>
      <c r="E13" s="56" t="str">
        <f>VLOOKUP("&lt;SpaltenTitel_2&gt;",Uebersetzungen!$B$3:$E$333,Uebersetzungen!$B$2+1,FALSE)</f>
        <v>Eine Hauptsprache</v>
      </c>
      <c r="F13" s="56"/>
      <c r="G13" s="56" t="str">
        <f>VLOOKUP("&lt;SpaltenTitel_3&gt;",Uebersetzungen!$B$3:$E$333,Uebersetzungen!$B$2+1,FALSE)</f>
        <v>Zwei Hauptsprachen</v>
      </c>
      <c r="H13" s="56"/>
      <c r="I13" s="56" t="str">
        <f>VLOOKUP("&lt;SpaltenTitel_4&gt;",Uebersetzungen!$B$3:$E$333,Uebersetzungen!$B$2+1,FALSE)</f>
        <v>Drei oder mehr Hauptsprachen</v>
      </c>
      <c r="J13" s="60"/>
    </row>
    <row r="14" spans="1:11" s="39" customFormat="1" ht="39" thickBot="1" x14ac:dyDescent="0.25">
      <c r="B14" s="54"/>
      <c r="C14" s="46" t="str">
        <f>VLOOKUP("&lt;SpaltenTitel_1.1&gt;",Uebersetzungen!$B$3:$E$333,Uebersetzungen!$B$2+1,FALSE)</f>
        <v>Anzahl Personen</v>
      </c>
      <c r="D14" s="47" t="str">
        <f>VLOOKUP("&lt;SpaltenTitel_1.2&gt;",Uebersetzungen!$B$3:$E$333,Uebersetzungen!$B$2+1,FALSE)</f>
        <v>Vertrauens- intervall: 
± (in %)</v>
      </c>
      <c r="E14" s="48" t="str">
        <f>VLOOKUP("&lt;SpaltenTitel_1.1&gt;",Uebersetzungen!$B$3:$E$333,Uebersetzungen!$B$2+1,FALSE)</f>
        <v>Anzahl Personen</v>
      </c>
      <c r="F14" s="47" t="str">
        <f>VLOOKUP("&lt;SpaltenTitel_1.2&gt;",Uebersetzungen!$B$3:$E$333,Uebersetzungen!$B$2+1,FALSE)</f>
        <v>Vertrauens- intervall: 
± (in %)</v>
      </c>
      <c r="G14" s="49" t="str">
        <f>VLOOKUP("&lt;SpaltenTitel_1.1&gt;",Uebersetzungen!$B$3:$E$333,Uebersetzungen!$B$2+1,FALSE)</f>
        <v>Anzahl Personen</v>
      </c>
      <c r="H14" s="50" t="str">
        <f>VLOOKUP("&lt;SpaltenTitel_1.2&gt;",Uebersetzungen!$B$3:$E$333,Uebersetzungen!$B$2+1,FALSE)</f>
        <v>Vertrauens- intervall: 
± (in %)</v>
      </c>
      <c r="I14" s="48" t="str">
        <f>VLOOKUP("&lt;SpaltenTitel_1.1&gt;",Uebersetzungen!$B$3:$E$333,Uebersetzungen!$B$2+1,FALSE)</f>
        <v>Anzahl Personen</v>
      </c>
      <c r="J14" s="51" t="str">
        <f>VLOOKUP("&lt;SpaltenTitel_1.2&gt;",Uebersetzungen!$B$3:$E$333,Uebersetzungen!$B$2+1,FALSE)</f>
        <v>Vertrauens- intervall: 
± (in %)</v>
      </c>
    </row>
    <row r="15" spans="1:11" ht="14.25" customHeight="1" x14ac:dyDescent="0.2">
      <c r="A15" s="28" t="str">
        <f>VLOOKUP("&lt;T2Zeilentitel_1&gt;",Uebersetzungen!$B$3:$E$65,Uebersetzungen!$B$2+1,FALSE)</f>
        <v>Total</v>
      </c>
      <c r="B15" s="41"/>
      <c r="C15" s="64">
        <v>175976.99999999558</v>
      </c>
      <c r="D15" s="74">
        <v>0.39675788464814354</v>
      </c>
      <c r="E15" s="75">
        <v>147457.87168499926</v>
      </c>
      <c r="F15" s="65">
        <v>1.2571240709872356</v>
      </c>
      <c r="G15" s="75">
        <v>23075.994992286025</v>
      </c>
      <c r="H15" s="74">
        <v>7.2492032643592337</v>
      </c>
      <c r="I15" s="75">
        <v>5443.1333227102659</v>
      </c>
      <c r="J15" s="87">
        <v>16.580797998896347</v>
      </c>
    </row>
    <row r="16" spans="1:11" x14ac:dyDescent="0.2">
      <c r="A16" s="29" t="str">
        <f>VLOOKUP("&lt;T2Zeilentitel_2&gt;",Uebersetzungen!$B$3:$E$65,Uebersetzungen!$B$2+1,FALSE)</f>
        <v>Geschlecht</v>
      </c>
      <c r="B16" s="42" t="str">
        <f>VLOOKUP("&lt;T2Zeilentitel_2.1&gt;",Uebersetzungen!$B$3:$E$65,Uebersetzungen!$B$2+1,FALSE)</f>
        <v>Männer</v>
      </c>
      <c r="C16" s="71">
        <v>88469.999999996988</v>
      </c>
      <c r="D16" s="76">
        <v>2.8767215425128208</v>
      </c>
      <c r="E16" s="77">
        <v>74193.00389553736</v>
      </c>
      <c r="F16" s="72">
        <v>3.3313638537816956</v>
      </c>
      <c r="G16" s="77">
        <v>10982.737595066683</v>
      </c>
      <c r="H16" s="76">
        <v>11.110396188443106</v>
      </c>
      <c r="I16" s="77">
        <v>3294.2585093929542</v>
      </c>
      <c r="J16" s="88">
        <v>22.284307716074867</v>
      </c>
    </row>
    <row r="17" spans="1:10" x14ac:dyDescent="0.2">
      <c r="A17" s="30"/>
      <c r="B17" s="43" t="str">
        <f>VLOOKUP("&lt;T2Zeilentitel_2.2&gt;",Uebersetzungen!$B$3:$E$65,Uebersetzungen!$B$2+1,FALSE)</f>
        <v>Frauen</v>
      </c>
      <c r="C17" s="73">
        <v>87506.999999998545</v>
      </c>
      <c r="D17" s="78">
        <v>2.7377556760568313</v>
      </c>
      <c r="E17" s="79">
        <v>73264.867789461889</v>
      </c>
      <c r="F17" s="63">
        <v>3.219222201220683</v>
      </c>
      <c r="G17" s="79">
        <v>12093.257397219344</v>
      </c>
      <c r="H17" s="78">
        <v>10.163295674145811</v>
      </c>
      <c r="I17" s="79">
        <v>2148.8748133173112</v>
      </c>
      <c r="J17" s="89">
        <v>24.902251299580204</v>
      </c>
    </row>
    <row r="18" spans="1:10" x14ac:dyDescent="0.2">
      <c r="A18" s="31" t="str">
        <f>VLOOKUP("&lt;T2Zeilentitel_3&gt;",Uebersetzungen!$B$3:$E$65,Uebersetzungen!$B$2+1,FALSE)</f>
        <v>Alter</v>
      </c>
      <c r="B18" s="25" t="str">
        <f>VLOOKUP("&lt;T2Zeilentitel_3.1&gt;",Uebersetzungen!$B$3:$E$65,Uebersetzungen!$B$2+1,FALSE)</f>
        <v>15-24</v>
      </c>
      <c r="C18" s="66">
        <v>18707.999999999491</v>
      </c>
      <c r="D18" s="80">
        <v>8.3015949454829361</v>
      </c>
      <c r="E18" s="81">
        <v>15321.513537262166</v>
      </c>
      <c r="F18" s="61">
        <v>9.1891669638575664</v>
      </c>
      <c r="G18" s="81">
        <v>2699.180871970605</v>
      </c>
      <c r="H18" s="80">
        <v>23.200967724816177</v>
      </c>
      <c r="I18" s="84">
        <v>687.30559076672</v>
      </c>
      <c r="J18" s="90">
        <v>50.193972338918925</v>
      </c>
    </row>
    <row r="19" spans="1:10" x14ac:dyDescent="0.2">
      <c r="A19" s="32"/>
      <c r="B19" s="44" t="str">
        <f>VLOOKUP("&lt;T2Zeilentitel_3.2&gt;",Uebersetzungen!$B$3:$E$65,Uebersetzungen!$B$2+1,FALSE)</f>
        <v>25-44</v>
      </c>
      <c r="C19" s="66">
        <v>51762.999999998596</v>
      </c>
      <c r="D19" s="80">
        <v>4.5313758844237251</v>
      </c>
      <c r="E19" s="81">
        <v>42442.160710843003</v>
      </c>
      <c r="F19" s="61">
        <v>5.1232815635282609</v>
      </c>
      <c r="G19" s="81">
        <v>7251.2419008543138</v>
      </c>
      <c r="H19" s="80">
        <v>14.032990565176785</v>
      </c>
      <c r="I19" s="83">
        <v>2069.5973883012775</v>
      </c>
      <c r="J19" s="90">
        <v>29.000209129871987</v>
      </c>
    </row>
    <row r="20" spans="1:10" x14ac:dyDescent="0.2">
      <c r="A20" s="33"/>
      <c r="B20" s="44" t="str">
        <f>VLOOKUP("&lt;T2Zeilentitel_3.3&gt;",Uebersetzungen!$B$3:$E$65,Uebersetzungen!$B$2+1,FALSE)</f>
        <v>45-64</v>
      </c>
      <c r="C20" s="66">
        <v>59050.999999998552</v>
      </c>
      <c r="D20" s="80">
        <v>3.8862069883361237</v>
      </c>
      <c r="E20" s="81">
        <v>50495.129849518715</v>
      </c>
      <c r="F20" s="61">
        <v>4.3413757734324223</v>
      </c>
      <c r="G20" s="81">
        <v>7133.989113771403</v>
      </c>
      <c r="H20" s="80">
        <v>13.558769918654891</v>
      </c>
      <c r="I20" s="83">
        <v>1421.8810367084357</v>
      </c>
      <c r="J20" s="90">
        <v>31.050990667178702</v>
      </c>
    </row>
    <row r="21" spans="1:10" x14ac:dyDescent="0.2">
      <c r="A21" s="33"/>
      <c r="B21" s="44" t="str">
        <f>VLOOKUP("&lt;T2Zeilentitel_3.4&gt;",Uebersetzungen!$B$3:$E$65,Uebersetzungen!$B$2+1,FALSE)</f>
        <v>65 und älter</v>
      </c>
      <c r="C21" s="66">
        <v>46454.999999998799</v>
      </c>
      <c r="D21" s="80">
        <v>4.4091517919039491</v>
      </c>
      <c r="E21" s="81">
        <v>39199.067587375248</v>
      </c>
      <c r="F21" s="61">
        <v>4.9427584866938989</v>
      </c>
      <c r="G21" s="81">
        <v>5991.5831056897123</v>
      </c>
      <c r="H21" s="80">
        <v>14.234483494550997</v>
      </c>
      <c r="I21" s="83">
        <v>1264.3493069338331</v>
      </c>
      <c r="J21" s="90">
        <v>31.285106996388155</v>
      </c>
    </row>
    <row r="22" spans="1:10" x14ac:dyDescent="0.2">
      <c r="A22" s="29" t="str">
        <f>VLOOKUP("&lt;T2Zeilentitel_4&gt;",Uebersetzungen!$B$3:$E$65,Uebersetzungen!$B$2+1,FALSE)</f>
        <v>Staatsangehörigkeit</v>
      </c>
      <c r="B22" s="42" t="str">
        <f>VLOOKUP("&lt;T2Zeilentitel_4.1&gt;",Uebersetzungen!$B$3:$E$65,Uebersetzungen!$B$2+1,FALSE)</f>
        <v>Schweiz</v>
      </c>
      <c r="C22" s="71">
        <v>139479.99999999595</v>
      </c>
      <c r="D22" s="76">
        <v>1.316087642339586</v>
      </c>
      <c r="E22" s="77">
        <v>120293.83701980991</v>
      </c>
      <c r="F22" s="72">
        <v>1.790414309417361</v>
      </c>
      <c r="G22" s="77">
        <v>16399.757100999865</v>
      </c>
      <c r="H22" s="76">
        <v>8.4898770757948689</v>
      </c>
      <c r="I22" s="77">
        <v>2786.4058791861876</v>
      </c>
      <c r="J22" s="88">
        <v>21.486854132357493</v>
      </c>
    </row>
    <row r="23" spans="1:10" x14ac:dyDescent="0.2">
      <c r="A23" s="31"/>
      <c r="B23" s="44" t="str">
        <f>VLOOKUP("&lt;T2Zeilentitel_4.2&gt;",Uebersetzungen!$B$3:$E$65,Uebersetzungen!$B$2+1,FALSE)</f>
        <v>EU und EFTA</v>
      </c>
      <c r="C23" s="66">
        <v>28464.778974147051</v>
      </c>
      <c r="D23" s="80">
        <v>6.8848591999866908</v>
      </c>
      <c r="E23" s="81">
        <v>21545.140931809128</v>
      </c>
      <c r="F23" s="61">
        <v>8.0329630473958673</v>
      </c>
      <c r="G23" s="81">
        <v>4902.2678171627449</v>
      </c>
      <c r="H23" s="80">
        <v>17.749489452867689</v>
      </c>
      <c r="I23" s="83">
        <v>2017.3702251751779</v>
      </c>
      <c r="J23" s="90">
        <v>28.433404129996262</v>
      </c>
    </row>
    <row r="24" spans="1:10" x14ac:dyDescent="0.2">
      <c r="A24" s="31"/>
      <c r="B24" s="44" t="str">
        <f>VLOOKUP("&lt;T2Zeilentitel_4.3&gt;",Uebersetzungen!$B$3:$E$65,Uebersetzungen!$B$2+1,FALSE)</f>
        <v>Anderer europäischer Staat</v>
      </c>
      <c r="C24" s="66">
        <v>4405.4967638607159</v>
      </c>
      <c r="D24" s="80">
        <v>19.78768188949455</v>
      </c>
      <c r="E24" s="81">
        <v>2859.445247319632</v>
      </c>
      <c r="F24" s="61">
        <v>24.645092291932066</v>
      </c>
      <c r="G24" s="83">
        <v>1211.0458106661633</v>
      </c>
      <c r="H24" s="82">
        <v>36.205176179391366</v>
      </c>
      <c r="I24" s="84">
        <v>335.00570587492058</v>
      </c>
      <c r="J24" s="90">
        <v>83.572399900389613</v>
      </c>
    </row>
    <row r="25" spans="1:10" x14ac:dyDescent="0.2">
      <c r="A25" s="31"/>
      <c r="B25" s="44" t="str">
        <f>VLOOKUP("&lt;T2Zeilentitel_4.4&gt;",Uebersetzungen!$B$3:$E$65,Uebersetzungen!$B$2+1,FALSE)</f>
        <v>Andere Staaten</v>
      </c>
      <c r="C25" s="66">
        <v>3626.7242619924305</v>
      </c>
      <c r="D25" s="80">
        <v>21.364364793245262</v>
      </c>
      <c r="E25" s="81">
        <v>2759.4484860611901</v>
      </c>
      <c r="F25" s="61">
        <v>24.356753566640698</v>
      </c>
      <c r="G25" s="84">
        <v>562.92426345725949</v>
      </c>
      <c r="H25" s="82">
        <v>53.445087777062909</v>
      </c>
      <c r="I25" s="84">
        <v>304.35151247398107</v>
      </c>
      <c r="J25" s="90">
        <v>81.808084638432959</v>
      </c>
    </row>
    <row r="26" spans="1:10" x14ac:dyDescent="0.2">
      <c r="A26" s="30"/>
      <c r="B26" s="44" t="str">
        <f>VLOOKUP("&lt;T2Zeilentitel_4.5&gt;",Uebersetzungen!$B$3:$E$65,Uebersetzungen!$B$2+1,FALSE)</f>
        <v>Staatsangehörigkeit unbekannt</v>
      </c>
      <c r="C26" s="73" t="s">
        <v>223</v>
      </c>
      <c r="D26" s="78" t="s">
        <v>223</v>
      </c>
      <c r="E26" s="79" t="s">
        <v>223</v>
      </c>
      <c r="F26" s="63" t="s">
        <v>223</v>
      </c>
      <c r="G26" s="79" t="s">
        <v>223</v>
      </c>
      <c r="H26" s="78" t="s">
        <v>223</v>
      </c>
      <c r="I26" s="79" t="s">
        <v>223</v>
      </c>
      <c r="J26" s="89" t="s">
        <v>223</v>
      </c>
    </row>
    <row r="27" spans="1:10" x14ac:dyDescent="0.2">
      <c r="A27" s="29" t="str">
        <f>VLOOKUP("&lt;T2Zeilentitel_5&gt;",Uebersetzungen!$B$3:$E$65,Uebersetzungen!$B$2+1,FALSE)</f>
        <v>Migrationsstatus</v>
      </c>
      <c r="B27" s="42" t="str">
        <f>VLOOKUP("&lt;T2Zeilentitel_5.1&gt;",Uebersetzungen!$B$3:$E$65,Uebersetzungen!$B$2+1,FALSE)</f>
        <v>Schweizer/innen ohne Migrationshintergrund</v>
      </c>
      <c r="C27" s="66">
        <v>122172.64107475651</v>
      </c>
      <c r="D27" s="80">
        <v>1.7493769218529942</v>
      </c>
      <c r="E27" s="81">
        <v>107631.89823862474</v>
      </c>
      <c r="F27" s="61">
        <v>2.1181475244994354</v>
      </c>
      <c r="G27" s="81">
        <v>12408.423504654309</v>
      </c>
      <c r="H27" s="80">
        <v>9.8875903762918842</v>
      </c>
      <c r="I27" s="81">
        <v>2132.3193314774667</v>
      </c>
      <c r="J27" s="91">
        <v>24.653212135973064</v>
      </c>
    </row>
    <row r="28" spans="1:10" x14ac:dyDescent="0.2">
      <c r="A28" s="31"/>
      <c r="B28" s="44" t="str">
        <f>VLOOKUP("&lt;T2Zeilentitel_5.2&gt;",Uebersetzungen!$B$3:$E$65,Uebersetzungen!$B$2+1,FALSE)</f>
        <v>Schweizer/innen mit Migrationshintergrund</v>
      </c>
      <c r="C28" s="66">
        <v>16792.664144571514</v>
      </c>
      <c r="D28" s="80">
        <v>8.3186880237247607</v>
      </c>
      <c r="E28" s="81">
        <v>12183.059606534944</v>
      </c>
      <c r="F28" s="61">
        <v>9.8922273386258528</v>
      </c>
      <c r="G28" s="81">
        <v>3955.517990327849</v>
      </c>
      <c r="H28" s="80">
        <v>17.943268385752166</v>
      </c>
      <c r="I28" s="84">
        <v>654.08654770872079</v>
      </c>
      <c r="J28" s="90">
        <v>44.369043916761704</v>
      </c>
    </row>
    <row r="29" spans="1:10" x14ac:dyDescent="0.2">
      <c r="A29" s="31"/>
      <c r="B29" s="44" t="str">
        <f>VLOOKUP("&lt;T2Zeilentitel_5.3&gt;",Uebersetzungen!$B$3:$E$65,Uebersetzungen!$B$2+1,FALSE)</f>
        <v>Ausländer/innen der ersten Generation</v>
      </c>
      <c r="C29" s="66">
        <v>34475.342092880535</v>
      </c>
      <c r="D29" s="80">
        <v>6.2304465488433474</v>
      </c>
      <c r="E29" s="81">
        <v>25767.823502718224</v>
      </c>
      <c r="F29" s="61">
        <v>7.3401027555817899</v>
      </c>
      <c r="G29" s="81">
        <v>6173.8940494334602</v>
      </c>
      <c r="H29" s="80">
        <v>15.797576454145066</v>
      </c>
      <c r="I29" s="81">
        <v>2533.6245407288507</v>
      </c>
      <c r="J29" s="91">
        <v>26.44164303238032</v>
      </c>
    </row>
    <row r="30" spans="1:10" ht="25.5" x14ac:dyDescent="0.2">
      <c r="A30" s="31"/>
      <c r="B30" s="44" t="str">
        <f>VLOOKUP("&lt;T2Zeilentitel_5.4&gt;",Uebersetzungen!$B$3:$E$65,Uebersetzungen!$B$2+1,FALSE)</f>
        <v>Ausländer/innen der zweiten und höheren Generation</v>
      </c>
      <c r="C30" s="67">
        <v>2021.6579071196716</v>
      </c>
      <c r="D30" s="82">
        <v>28.076510886061907</v>
      </c>
      <c r="E30" s="83">
        <v>1396.2111624717354</v>
      </c>
      <c r="F30" s="62">
        <v>34.013250748833869</v>
      </c>
      <c r="G30" s="84">
        <v>502.34384185270847</v>
      </c>
      <c r="H30" s="82">
        <v>55.992056503715268</v>
      </c>
      <c r="I30" s="81" t="s">
        <v>223</v>
      </c>
      <c r="J30" s="91" t="s">
        <v>223</v>
      </c>
    </row>
    <row r="31" spans="1:10" x14ac:dyDescent="0.2">
      <c r="A31" s="30"/>
      <c r="B31" s="44" t="str">
        <f>VLOOKUP("&lt;T2Zeilentitel_5.5&gt;",Uebersetzungen!$B$3:$E$65,Uebersetzungen!$B$2+1,FALSE)</f>
        <v>Migrationshintergrund unbekannt</v>
      </c>
      <c r="C31" s="68">
        <v>514.69478066784814</v>
      </c>
      <c r="D31" s="82">
        <v>50.328158876178726</v>
      </c>
      <c r="E31" s="84">
        <v>478.879174650138</v>
      </c>
      <c r="F31" s="62">
        <v>52.13677710587298</v>
      </c>
      <c r="G31" s="81" t="s">
        <v>223</v>
      </c>
      <c r="H31" s="80" t="s">
        <v>223</v>
      </c>
      <c r="I31" s="81" t="s">
        <v>223</v>
      </c>
      <c r="J31" s="91" t="s">
        <v>223</v>
      </c>
    </row>
    <row r="32" spans="1:10" x14ac:dyDescent="0.2">
      <c r="A32" s="29" t="str">
        <f>VLOOKUP("&lt;T2Zeilentitel_6&gt;",Uebersetzungen!$B$3:$E$65,Uebersetzungen!$B$2+1,FALSE)</f>
        <v>Arbeitsmarktstatus</v>
      </c>
      <c r="B32" s="42" t="str">
        <f>VLOOKUP("&lt;T2Zeilentitel_6.1&gt;",Uebersetzungen!$B$3:$E$65,Uebersetzungen!$B$2+1,FALSE)</f>
        <v>Erwerbstätige</v>
      </c>
      <c r="C32" s="71">
        <v>110190.32702338928</v>
      </c>
      <c r="D32" s="76">
        <v>2.2402588065625362</v>
      </c>
      <c r="E32" s="77">
        <v>92475.643589103318</v>
      </c>
      <c r="F32" s="72">
        <v>2.6997281362592633</v>
      </c>
      <c r="G32" s="77">
        <v>14149.71393137582</v>
      </c>
      <c r="H32" s="76">
        <v>9.6038135666939564</v>
      </c>
      <c r="I32" s="77">
        <v>3564.969502910139</v>
      </c>
      <c r="J32" s="88">
        <v>21.224024225364928</v>
      </c>
    </row>
    <row r="33" spans="1:10" x14ac:dyDescent="0.2">
      <c r="A33" s="31"/>
      <c r="B33" s="44" t="str">
        <f>VLOOKUP("&lt;T2Zeilentitel_6.2&gt;",Uebersetzungen!$B$3:$E$65,Uebersetzungen!$B$2+1,FALSE)</f>
        <v>Erwerbslose</v>
      </c>
      <c r="C33" s="66">
        <v>2284.4069618137951</v>
      </c>
      <c r="D33" s="80">
        <v>25.177421180026489</v>
      </c>
      <c r="E33" s="81">
        <v>1888.9320155593678</v>
      </c>
      <c r="F33" s="61">
        <v>27.575172024972073</v>
      </c>
      <c r="G33" s="84">
        <v>359.29182785535016</v>
      </c>
      <c r="H33" s="82">
        <v>65.718937086382354</v>
      </c>
      <c r="I33" s="81" t="s">
        <v>223</v>
      </c>
      <c r="J33" s="91" t="s">
        <v>223</v>
      </c>
    </row>
    <row r="34" spans="1:10" x14ac:dyDescent="0.2">
      <c r="A34" s="30"/>
      <c r="B34" s="44" t="str">
        <f>VLOOKUP("&lt;T2Zeilentitel_6.3&gt;",Uebersetzungen!$B$3:$E$65,Uebersetzungen!$B$2+1,FALSE)</f>
        <v>Nichterwerbspersonen</v>
      </c>
      <c r="C34" s="73">
        <v>63502.266014792665</v>
      </c>
      <c r="D34" s="78">
        <v>3.6135246280747166</v>
      </c>
      <c r="E34" s="79">
        <v>53093.29608033676</v>
      </c>
      <c r="F34" s="63">
        <v>4.1210456462188558</v>
      </c>
      <c r="G34" s="79">
        <v>8566.9892330548519</v>
      </c>
      <c r="H34" s="78">
        <v>12.197690344781304</v>
      </c>
      <c r="I34" s="79">
        <v>1841.9807014010498</v>
      </c>
      <c r="J34" s="89">
        <v>27.003228632140992</v>
      </c>
    </row>
    <row r="35" spans="1:10" x14ac:dyDescent="0.2">
      <c r="A35" s="31" t="str">
        <f>VLOOKUP("&lt;T2Zeilentitel_7&gt;",Uebersetzungen!$B$3:$E$65,Uebersetzungen!$B$2+1,FALSE)</f>
        <v>Sozioprofessionelle Kategorien</v>
      </c>
      <c r="B35" s="42" t="str">
        <f>VLOOKUP("&lt;T2Zeilentitel_7.1&gt;",Uebersetzungen!$B$3:$E$65,Uebersetzungen!$B$2+1,FALSE)</f>
        <v>Oberstes Management</v>
      </c>
      <c r="C35" s="66">
        <v>2591.8218815840169</v>
      </c>
      <c r="D35" s="80">
        <v>22.096779166267037</v>
      </c>
      <c r="E35" s="81">
        <v>2074.598126091701</v>
      </c>
      <c r="F35" s="61">
        <v>24.695098915374153</v>
      </c>
      <c r="G35" s="84">
        <v>486.76062945193485</v>
      </c>
      <c r="H35" s="82">
        <v>51.851867427917583</v>
      </c>
      <c r="I35" s="81" t="s">
        <v>223</v>
      </c>
      <c r="J35" s="91" t="s">
        <v>223</v>
      </c>
    </row>
    <row r="36" spans="1:10" x14ac:dyDescent="0.2">
      <c r="A36" s="32"/>
      <c r="B36" s="44" t="str">
        <f>VLOOKUP("&lt;T2Zeilentitel_7.2&gt;",Uebersetzungen!$B$3:$E$65,Uebersetzungen!$B$2+1,FALSE)</f>
        <v>Freie und gleichgestellte Berufe</v>
      </c>
      <c r="C36" s="66">
        <v>2772.6059416691342</v>
      </c>
      <c r="D36" s="80">
        <v>21.257825256075527</v>
      </c>
      <c r="E36" s="81">
        <v>2312.6429766099623</v>
      </c>
      <c r="F36" s="61">
        <v>23.18054939951416</v>
      </c>
      <c r="G36" s="84">
        <v>285.73821900651023</v>
      </c>
      <c r="H36" s="82">
        <v>68.90640044597032</v>
      </c>
      <c r="I36" s="84">
        <v>174.22474605266137</v>
      </c>
      <c r="J36" s="90">
        <v>86.900426156075682</v>
      </c>
    </row>
    <row r="37" spans="1:10" x14ac:dyDescent="0.2">
      <c r="A37" s="33"/>
      <c r="B37" s="44" t="str">
        <f>VLOOKUP("&lt;T2Zeilentitel_7.3&gt;",Uebersetzungen!$B$3:$E$65,Uebersetzungen!$B$2+1,FALSE)</f>
        <v>Andere Selbstständige</v>
      </c>
      <c r="C37" s="66">
        <v>13585.627488911181</v>
      </c>
      <c r="D37" s="80">
        <v>9.6193425282333873</v>
      </c>
      <c r="E37" s="81">
        <v>11697.261502660549</v>
      </c>
      <c r="F37" s="61">
        <v>10.402431481734713</v>
      </c>
      <c r="G37" s="83">
        <v>1488.1429017434882</v>
      </c>
      <c r="H37" s="82">
        <v>29.876776041837655</v>
      </c>
      <c r="I37" s="84">
        <v>400.2230845071449</v>
      </c>
      <c r="J37" s="90">
        <v>63.181346478181034</v>
      </c>
    </row>
    <row r="38" spans="1:10" x14ac:dyDescent="0.2">
      <c r="A38" s="33"/>
      <c r="B38" s="44" t="str">
        <f>VLOOKUP("&lt;T2Zeilentitel_7.4&gt;",Uebersetzungen!$B$3:$E$65,Uebersetzungen!$B$2+1,FALSE)</f>
        <v>Akademische Berufe und oberes Kader</v>
      </c>
      <c r="C38" s="66">
        <v>16516.630569380322</v>
      </c>
      <c r="D38" s="80">
        <v>8.5095799786306703</v>
      </c>
      <c r="E38" s="81">
        <v>14053.231267547835</v>
      </c>
      <c r="F38" s="61">
        <v>9.282487855855555</v>
      </c>
      <c r="G38" s="81">
        <v>2078.1949679327436</v>
      </c>
      <c r="H38" s="80">
        <v>25.287529784337163</v>
      </c>
      <c r="I38" s="84">
        <v>385.20433389974266</v>
      </c>
      <c r="J38" s="90">
        <v>58.748572197160179</v>
      </c>
    </row>
    <row r="39" spans="1:10" x14ac:dyDescent="0.2">
      <c r="A39" s="33"/>
      <c r="B39" s="44" t="str">
        <f>VLOOKUP("&lt;T2Zeilentitel_7.5&gt;",Uebersetzungen!$B$3:$E$65,Uebersetzungen!$B$2+1,FALSE)</f>
        <v>Intermediäre Berufe</v>
      </c>
      <c r="C39" s="66">
        <v>31500.389602709802</v>
      </c>
      <c r="D39" s="80">
        <v>6.070670369758659</v>
      </c>
      <c r="E39" s="81">
        <v>26393.25212753037</v>
      </c>
      <c r="F39" s="61">
        <v>6.6961038562701258</v>
      </c>
      <c r="G39" s="81">
        <v>3943.3045026771338</v>
      </c>
      <c r="H39" s="80">
        <v>18.766017509200108</v>
      </c>
      <c r="I39" s="83">
        <v>1163.8329725022979</v>
      </c>
      <c r="J39" s="90">
        <v>38.135429674410311</v>
      </c>
    </row>
    <row r="40" spans="1:10" x14ac:dyDescent="0.2">
      <c r="A40" s="33"/>
      <c r="B40" s="44" t="str">
        <f>VLOOKUP("&lt;T2Zeilentitel_7.6&gt;",Uebersetzungen!$B$3:$E$65,Uebersetzungen!$B$2+1,FALSE)</f>
        <v>Qualifizierte nichtmanuelle Berufe</v>
      </c>
      <c r="C40" s="66">
        <v>23605.686619492521</v>
      </c>
      <c r="D40" s="80">
        <v>7.0821137163126373</v>
      </c>
      <c r="E40" s="81">
        <v>20332.7216369858</v>
      </c>
      <c r="F40" s="61">
        <v>7.6675207115931867</v>
      </c>
      <c r="G40" s="81">
        <v>2636.3024678051102</v>
      </c>
      <c r="H40" s="80">
        <v>23.046348107832198</v>
      </c>
      <c r="I40" s="84">
        <v>636.66251470160762</v>
      </c>
      <c r="J40" s="90">
        <v>49.307829264552808</v>
      </c>
    </row>
    <row r="41" spans="1:10" x14ac:dyDescent="0.2">
      <c r="A41" s="33"/>
      <c r="B41" s="44" t="str">
        <f>VLOOKUP("&lt;T2Zeilentitel_7.7&gt;",Uebersetzungen!$B$3:$E$65,Uebersetzungen!$B$2+1,FALSE)</f>
        <v>Qualifizierte manuelle Berufe</v>
      </c>
      <c r="C41" s="66">
        <v>9675.5097240627765</v>
      </c>
      <c r="D41" s="80">
        <v>12.183978199175273</v>
      </c>
      <c r="E41" s="81">
        <v>7707.1395161433175</v>
      </c>
      <c r="F41" s="61">
        <v>13.538803914400866</v>
      </c>
      <c r="G41" s="83">
        <v>1560.6991947193676</v>
      </c>
      <c r="H41" s="82">
        <v>31.283337438319855</v>
      </c>
      <c r="I41" s="84">
        <v>407.67101320009198</v>
      </c>
      <c r="J41" s="90">
        <v>72.1392510074661</v>
      </c>
    </row>
    <row r="42" spans="1:10" x14ac:dyDescent="0.2">
      <c r="A42" s="33"/>
      <c r="B42" s="44" t="str">
        <f>VLOOKUP("&lt;T2Zeilentitel_7.8&gt;",Uebersetzungen!$B$3:$E$65,Uebersetzungen!$B$2+1,FALSE)</f>
        <v>Ungelernte Angestellte und Arbeiter</v>
      </c>
      <c r="C42" s="66">
        <v>5853.1832767080732</v>
      </c>
      <c r="D42" s="80">
        <v>16.140312244326328</v>
      </c>
      <c r="E42" s="81">
        <v>4627.8476417879983</v>
      </c>
      <c r="F42" s="61">
        <v>18.292382357223286</v>
      </c>
      <c r="G42" s="83">
        <v>1068.8156021229652</v>
      </c>
      <c r="H42" s="82">
        <v>37.6193525417521</v>
      </c>
      <c r="I42" s="81" t="s">
        <v>223</v>
      </c>
      <c r="J42" s="91" t="s">
        <v>223</v>
      </c>
    </row>
    <row r="43" spans="1:10" ht="25.5" customHeight="1" x14ac:dyDescent="0.2">
      <c r="A43" s="33"/>
      <c r="B43" s="44" t="str">
        <f>VLOOKUP("&lt;T2Zeilentitel_7.9&gt;",Uebersetzungen!$B$3:$E$65,Uebersetzungen!$B$2+1,FALSE)</f>
        <v>Lernende in dualer beruflicher Grundbildung (Lehrlinge)</v>
      </c>
      <c r="C43" s="66">
        <v>2635.7418494780127</v>
      </c>
      <c r="D43" s="80">
        <v>22.722475697722583</v>
      </c>
      <c r="E43" s="81">
        <v>2250.5379109937098</v>
      </c>
      <c r="F43" s="61">
        <v>24.710465848784619</v>
      </c>
      <c r="G43" s="84">
        <v>308.13284691612063</v>
      </c>
      <c r="H43" s="82">
        <v>64.648669408963002</v>
      </c>
      <c r="I43" s="81" t="s">
        <v>223</v>
      </c>
      <c r="J43" s="91" t="s">
        <v>223</v>
      </c>
    </row>
    <row r="44" spans="1:10" ht="38.25" x14ac:dyDescent="0.2">
      <c r="A44" s="33"/>
      <c r="B44" s="44" t="str">
        <f>VLOOKUP("&lt;T2Zeilentitel_7.10&gt;",Uebersetzungen!$B$3:$E$65,Uebersetzungen!$B$2+1,FALSE)</f>
        <v>Nicht zuteilbare Erwerbstätige (fehlende oder unklare Basisdaten oder unplausible Kombination)</v>
      </c>
      <c r="C44" s="67">
        <v>1453.1300693931603</v>
      </c>
      <c r="D44" s="82">
        <v>31.192680984634492</v>
      </c>
      <c r="E44" s="83">
        <v>1026.4108827517787</v>
      </c>
      <c r="F44" s="62">
        <v>36.851942982742948</v>
      </c>
      <c r="G44" s="84">
        <v>293.62259900046172</v>
      </c>
      <c r="H44" s="82">
        <v>68.481696938831874</v>
      </c>
      <c r="I44" s="81" t="s">
        <v>223</v>
      </c>
      <c r="J44" s="91" t="s">
        <v>223</v>
      </c>
    </row>
    <row r="45" spans="1:10" x14ac:dyDescent="0.2">
      <c r="A45" s="33"/>
      <c r="B45" s="44" t="str">
        <f>VLOOKUP("&lt;T2Zeilentitel_7.11&gt;",Uebersetzungen!$B$3:$E$65,Uebersetzungen!$B$2+1,FALSE)</f>
        <v>Erwerbslose und Nichterwerbspersonen</v>
      </c>
      <c r="C45" s="66">
        <v>65786.672976606365</v>
      </c>
      <c r="D45" s="80">
        <v>3.5246268704900392</v>
      </c>
      <c r="E45" s="81">
        <v>54982.228095896047</v>
      </c>
      <c r="F45" s="61">
        <v>4.028772115041833</v>
      </c>
      <c r="G45" s="81">
        <v>8926.2810609101962</v>
      </c>
      <c r="H45" s="80">
        <v>11.977453856607138</v>
      </c>
      <c r="I45" s="81">
        <v>1878.1638198001269</v>
      </c>
      <c r="J45" s="91">
        <v>26.738016835066276</v>
      </c>
    </row>
    <row r="46" spans="1:10" ht="12.75" customHeight="1" x14ac:dyDescent="0.2">
      <c r="A46" s="29" t="str">
        <f>VLOOKUP("&lt;T2Zeilentitel_8&gt;",Uebersetzungen!$B$3:$E$65,Uebersetzungen!$B$2+1,FALSE)</f>
        <v>Höchste abgeschlossene Ausbildung</v>
      </c>
      <c r="B46" s="42" t="str">
        <f>VLOOKUP("&lt;T2Zeilentitel_8.1&gt;",Uebersetzungen!$B$3:$E$65,Uebersetzungen!$B$2+1,FALSE)</f>
        <v>Ohne nachobligatorische Aubildung</v>
      </c>
      <c r="C46" s="71">
        <v>32938.137101366141</v>
      </c>
      <c r="D46" s="76">
        <v>5.9139819080388332</v>
      </c>
      <c r="E46" s="77">
        <v>27113.956130825776</v>
      </c>
      <c r="F46" s="72">
        <v>6.6343732271791698</v>
      </c>
      <c r="G46" s="77">
        <v>4841.9940508010586</v>
      </c>
      <c r="H46" s="76">
        <v>16.83297738489323</v>
      </c>
      <c r="I46" s="92">
        <v>982.18691973930459</v>
      </c>
      <c r="J46" s="93">
        <v>38.210754558859094</v>
      </c>
    </row>
    <row r="47" spans="1:10" x14ac:dyDescent="0.2">
      <c r="A47" s="33"/>
      <c r="B47" s="44" t="str">
        <f>VLOOKUP("&lt;T2Zeilentitel_8.2&gt;",Uebersetzungen!$B$3:$E$65,Uebersetzungen!$B$2+1,FALSE)</f>
        <v>Sekundarstufe II</v>
      </c>
      <c r="C47" s="66">
        <v>81217.846845221735</v>
      </c>
      <c r="D47" s="80">
        <v>3.0408354358789231</v>
      </c>
      <c r="E47" s="81">
        <v>68680.909686527069</v>
      </c>
      <c r="F47" s="61">
        <v>3.4729490623991723</v>
      </c>
      <c r="G47" s="81">
        <v>10221.289544943118</v>
      </c>
      <c r="H47" s="80">
        <v>11.434819860409336</v>
      </c>
      <c r="I47" s="81">
        <v>2315.6476137515456</v>
      </c>
      <c r="J47" s="91">
        <v>26.772031308637345</v>
      </c>
    </row>
    <row r="48" spans="1:10" ht="13.5" thickBot="1" x14ac:dyDescent="0.25">
      <c r="A48" s="34"/>
      <c r="B48" s="45" t="str">
        <f>VLOOKUP("&lt;T2Zeilentitel_8.3&gt;",Uebersetzungen!$B$3:$E$65,Uebersetzungen!$B$2+1,FALSE)</f>
        <v>Tertiärstufe</v>
      </c>
      <c r="C48" s="69">
        <v>61821.016053407489</v>
      </c>
      <c r="D48" s="85">
        <v>3.7375170185912703</v>
      </c>
      <c r="E48" s="86">
        <v>51663.005867646221</v>
      </c>
      <c r="F48" s="70">
        <v>4.2542023660033346</v>
      </c>
      <c r="G48" s="86">
        <v>8012.7113965418512</v>
      </c>
      <c r="H48" s="85">
        <v>12.640281991414613</v>
      </c>
      <c r="I48" s="86">
        <v>2145.2987892194155</v>
      </c>
      <c r="J48" s="94">
        <v>25.680392654716513</v>
      </c>
    </row>
    <row r="49" spans="1:10" x14ac:dyDescent="0.2">
      <c r="A49" s="25"/>
      <c r="B49" s="18"/>
      <c r="C49" s="26"/>
      <c r="D49" s="27"/>
      <c r="E49" s="27"/>
      <c r="F49" s="27"/>
      <c r="G49" s="27"/>
      <c r="H49" s="27"/>
      <c r="I49" s="27"/>
      <c r="J49" s="27"/>
    </row>
    <row r="50" spans="1:10" x14ac:dyDescent="0.2">
      <c r="A50" s="13" t="str">
        <f>VLOOKUP("&lt;Legende_1&gt;",Uebersetzungen!$B$3:$E$333,Uebersetzungen!$B$2+1,FALSE)</f>
        <v>(): Extrapolation aufgrund von 49 oder weniger Beobachtungen. Die Resultate sind mit grosser Vorsicht zu interpretieren.</v>
      </c>
    </row>
    <row r="51" spans="1:10" x14ac:dyDescent="0.2">
      <c r="A51" s="13" t="str">
        <f>VLOOKUP("&lt;Legende_2&gt;",Uebersetzungen!$B$3:$E$333,Uebersetzungen!$B$2+1,FALSE)</f>
        <v>X: Extrapolation aufgrund von 4 oder weniger Beobachtungen. Die Resultate werden aus Gründen des Datenschutzes nicht publiziert.</v>
      </c>
    </row>
    <row r="52" spans="1:10" x14ac:dyDescent="0.2">
      <c r="A52" s="13" t="str">
        <f>VLOOKUP("&lt;Legende_3&gt;",Uebersetzungen!$B$3:$E$333,Uebersetzungen!$B$2+1,FALSE)</f>
        <v>Die Grundgesamtheit der Strukturerhebung enthält alle Personen der ständigen Wohnbevölkerung ab vollendetem 15. Altersjahr, die in Privathaushalten leben.</v>
      </c>
    </row>
    <row r="53" spans="1:10" x14ac:dyDescent="0.2">
      <c r="A53" s="13" t="str">
        <f>VLOOKUP("&lt;Legende_4&gt;",Uebersetzungen!$B$3:$E$333,Uebersetzungen!$B$2+1,FALSE)</f>
        <v>Aus der Grundgesamtheit ausgeschlossen wurden neben den Personen, die in Kollektivhaushalten leben, auch Diplomaten, internationale Funktionäre und deren Angehörige.</v>
      </c>
    </row>
    <row r="54" spans="1:10" x14ac:dyDescent="0.2">
      <c r="A54" s="7"/>
    </row>
    <row r="55" spans="1:10" x14ac:dyDescent="0.2">
      <c r="A55" s="7" t="str">
        <f>VLOOKUP("&lt;Quelle_1&gt;",Uebersetzungen!$B$3:$E$365,Uebersetzungen!$B$2+1,FALSE)</f>
        <v>Quelle: BFS (Strukturerhebung)</v>
      </c>
    </row>
    <row r="56" spans="1:10" x14ac:dyDescent="0.2">
      <c r="A56" s="6" t="str">
        <f>VLOOKUP("&lt;T2Aktualisierung&gt;",Uebersetzungen!$B$3:$E$365,Uebersetzungen!$B$2+1,FALSE)</f>
        <v>Letztmals aktualisiert am: 05.03.2026</v>
      </c>
    </row>
    <row r="57" spans="1:10" x14ac:dyDescent="0.2">
      <c r="B57" s="9"/>
    </row>
    <row r="59" spans="1:10" x14ac:dyDescent="0.2">
      <c r="B59" s="10"/>
    </row>
  </sheetData>
  <sheetProtection sheet="1" objects="1" scenarios="1"/>
  <mergeCells count="7">
    <mergeCell ref="A7:D7"/>
    <mergeCell ref="B13:B14"/>
    <mergeCell ref="C13:D13"/>
    <mergeCell ref="C12:J12"/>
    <mergeCell ref="E13:F13"/>
    <mergeCell ref="G13:H13"/>
    <mergeCell ref="I13:J13"/>
  </mergeCells>
  <pageMargins left="0.7" right="0.7" top="0.78740157499999996" bottom="0.78740157499999996" header="0.3" footer="0.3"/>
  <pageSetup paperSize="9" scale="3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"/>
  <sheetViews>
    <sheetView topLeftCell="A34" workbookViewId="0">
      <selection activeCell="G63" sqref="G63"/>
    </sheetView>
  </sheetViews>
  <sheetFormatPr baseColWidth="10" defaultColWidth="11" defaultRowHeight="12.75" x14ac:dyDescent="0.2"/>
  <cols>
    <col min="1" max="1" width="7.5" style="20" bestFit="1" customWidth="1"/>
    <col min="2" max="2" width="15.5" style="20" bestFit="1" customWidth="1"/>
    <col min="3" max="3" width="40.875" style="20" bestFit="1" customWidth="1"/>
    <col min="4" max="4" width="41.625" style="20" bestFit="1" customWidth="1"/>
    <col min="5" max="5" width="41.125" style="20" bestFit="1" customWidth="1"/>
    <col min="6" max="16384" width="11" style="20"/>
  </cols>
  <sheetData>
    <row r="1" spans="1:6" x14ac:dyDescent="0.2">
      <c r="A1" s="14" t="s">
        <v>30</v>
      </c>
      <c r="B1" s="14" t="s">
        <v>31</v>
      </c>
      <c r="C1" s="14" t="s">
        <v>32</v>
      </c>
      <c r="D1" s="14" t="s">
        <v>33</v>
      </c>
      <c r="E1" s="14" t="s">
        <v>34</v>
      </c>
      <c r="F1" s="15"/>
    </row>
    <row r="2" spans="1:6" x14ac:dyDescent="0.2">
      <c r="A2" s="21" t="s">
        <v>35</v>
      </c>
      <c r="B2" s="22">
        <v>1</v>
      </c>
      <c r="C2" s="15"/>
      <c r="D2" s="15"/>
      <c r="E2" s="15"/>
      <c r="F2" s="15"/>
    </row>
    <row r="3" spans="1:6" x14ac:dyDescent="0.2">
      <c r="A3" s="21"/>
      <c r="B3" s="20" t="s">
        <v>36</v>
      </c>
      <c r="C3" s="16" t="s">
        <v>37</v>
      </c>
      <c r="D3" s="16" t="s">
        <v>38</v>
      </c>
      <c r="E3" s="16" t="s">
        <v>39</v>
      </c>
      <c r="F3" s="15"/>
    </row>
    <row r="4" spans="1:6" x14ac:dyDescent="0.2">
      <c r="A4" s="15"/>
      <c r="B4" s="15"/>
      <c r="C4" s="15"/>
      <c r="D4" s="15"/>
      <c r="E4" s="15"/>
      <c r="F4" s="15"/>
    </row>
    <row r="5" spans="1:6" ht="25.5" x14ac:dyDescent="0.2">
      <c r="A5" s="21" t="s">
        <v>49</v>
      </c>
      <c r="B5" s="20" t="s">
        <v>50</v>
      </c>
      <c r="C5" s="17" t="s">
        <v>192</v>
      </c>
      <c r="D5" s="17" t="s">
        <v>193</v>
      </c>
      <c r="E5" s="17" t="s">
        <v>194</v>
      </c>
      <c r="F5" s="15"/>
    </row>
    <row r="6" spans="1:6" x14ac:dyDescent="0.2">
      <c r="A6" s="21"/>
      <c r="B6" s="20" t="s">
        <v>51</v>
      </c>
      <c r="C6" s="38" t="s">
        <v>155</v>
      </c>
      <c r="D6" s="38" t="s">
        <v>156</v>
      </c>
      <c r="E6" s="38" t="s">
        <v>157</v>
      </c>
      <c r="F6" s="15"/>
    </row>
    <row r="7" spans="1:6" x14ac:dyDescent="0.2">
      <c r="A7" s="21"/>
      <c r="B7" s="15"/>
      <c r="C7" s="15"/>
      <c r="D7" s="15"/>
      <c r="E7" s="15"/>
      <c r="F7" s="15"/>
    </row>
    <row r="8" spans="1:6" ht="14.25" customHeight="1" x14ac:dyDescent="0.2">
      <c r="A8" s="21" t="s">
        <v>48</v>
      </c>
      <c r="B8" s="20" t="s">
        <v>40</v>
      </c>
      <c r="C8" s="16" t="s">
        <v>0</v>
      </c>
      <c r="D8" s="16" t="s">
        <v>0</v>
      </c>
      <c r="E8" s="16" t="s">
        <v>87</v>
      </c>
      <c r="F8" s="15"/>
    </row>
    <row r="9" spans="1:6" x14ac:dyDescent="0.2">
      <c r="A9" s="21"/>
      <c r="B9" s="20" t="s">
        <v>41</v>
      </c>
      <c r="C9" s="16" t="s">
        <v>195</v>
      </c>
      <c r="D9" s="16" t="s">
        <v>198</v>
      </c>
      <c r="E9" s="16" t="s">
        <v>201</v>
      </c>
      <c r="F9" s="15"/>
    </row>
    <row r="10" spans="1:6" x14ac:dyDescent="0.2">
      <c r="A10" s="21"/>
      <c r="B10" s="20" t="s">
        <v>42</v>
      </c>
      <c r="C10" s="16" t="s">
        <v>197</v>
      </c>
      <c r="D10" s="16" t="s">
        <v>199</v>
      </c>
      <c r="E10" s="16" t="s">
        <v>202</v>
      </c>
      <c r="F10" s="15"/>
    </row>
    <row r="11" spans="1:6" x14ac:dyDescent="0.2">
      <c r="A11" s="21"/>
      <c r="B11" s="20" t="s">
        <v>134</v>
      </c>
      <c r="C11" s="16" t="s">
        <v>196</v>
      </c>
      <c r="D11" s="16" t="s">
        <v>200</v>
      </c>
      <c r="E11" s="16" t="s">
        <v>203</v>
      </c>
      <c r="F11" s="15"/>
    </row>
    <row r="12" spans="1:6" x14ac:dyDescent="0.2">
      <c r="A12" s="21"/>
      <c r="B12" s="20" t="s">
        <v>151</v>
      </c>
      <c r="C12" s="16"/>
      <c r="D12" s="16"/>
      <c r="E12" s="16"/>
      <c r="F12" s="15"/>
    </row>
    <row r="13" spans="1:6" x14ac:dyDescent="0.2">
      <c r="A13" s="21"/>
      <c r="B13" s="20" t="s">
        <v>152</v>
      </c>
      <c r="C13" s="16"/>
      <c r="D13" s="16"/>
      <c r="E13" s="16"/>
      <c r="F13" s="15"/>
    </row>
    <row r="14" spans="1:6" x14ac:dyDescent="0.2">
      <c r="A14" s="21"/>
      <c r="B14" s="20" t="s">
        <v>153</v>
      </c>
      <c r="C14" s="16"/>
      <c r="D14" s="16"/>
      <c r="E14" s="16"/>
      <c r="F14" s="15"/>
    </row>
    <row r="15" spans="1:6" x14ac:dyDescent="0.2">
      <c r="A15" s="21"/>
      <c r="B15" s="20" t="s">
        <v>154</v>
      </c>
      <c r="C15" s="16"/>
      <c r="D15" s="16"/>
      <c r="E15" s="16"/>
      <c r="F15" s="15"/>
    </row>
    <row r="16" spans="1:6" x14ac:dyDescent="0.2">
      <c r="A16" s="21"/>
      <c r="B16" s="21"/>
      <c r="C16" s="21"/>
      <c r="D16" s="21"/>
      <c r="E16" s="21"/>
      <c r="F16" s="21"/>
    </row>
    <row r="17" spans="1:6" x14ac:dyDescent="0.2">
      <c r="A17" s="21"/>
      <c r="B17" s="20" t="s">
        <v>59</v>
      </c>
      <c r="C17" s="16" t="s">
        <v>1</v>
      </c>
      <c r="D17" s="16" t="s">
        <v>132</v>
      </c>
      <c r="E17" s="16" t="s">
        <v>88</v>
      </c>
      <c r="F17" s="15"/>
    </row>
    <row r="18" spans="1:6" ht="25.5" x14ac:dyDescent="0.2">
      <c r="A18" s="21"/>
      <c r="B18" s="20" t="s">
        <v>60</v>
      </c>
      <c r="C18" s="16" t="s">
        <v>158</v>
      </c>
      <c r="D18" s="16" t="s">
        <v>159</v>
      </c>
      <c r="E18" s="16" t="s">
        <v>160</v>
      </c>
      <c r="F18" s="15"/>
    </row>
    <row r="19" spans="1:6" x14ac:dyDescent="0.2">
      <c r="A19" s="21"/>
      <c r="B19" s="15"/>
      <c r="C19" s="15"/>
      <c r="D19" s="15"/>
      <c r="E19" s="15"/>
      <c r="F19" s="15"/>
    </row>
    <row r="20" spans="1:6" x14ac:dyDescent="0.2">
      <c r="A20" s="21" t="s">
        <v>49</v>
      </c>
      <c r="B20" s="20" t="s">
        <v>52</v>
      </c>
      <c r="C20" s="16" t="s">
        <v>0</v>
      </c>
      <c r="D20" s="16" t="s">
        <v>0</v>
      </c>
      <c r="E20" s="16" t="s">
        <v>87</v>
      </c>
      <c r="F20" s="15"/>
    </row>
    <row r="21" spans="1:6" x14ac:dyDescent="0.2">
      <c r="A21" s="15"/>
      <c r="B21" s="20" t="s">
        <v>53</v>
      </c>
      <c r="C21" s="16" t="s">
        <v>6</v>
      </c>
      <c r="D21" s="16" t="s">
        <v>112</v>
      </c>
      <c r="E21" s="16" t="s">
        <v>89</v>
      </c>
      <c r="F21" s="15"/>
    </row>
    <row r="22" spans="1:6" x14ac:dyDescent="0.2">
      <c r="A22" s="15"/>
      <c r="B22" s="20" t="s">
        <v>54</v>
      </c>
      <c r="C22" s="16" t="s">
        <v>9</v>
      </c>
      <c r="D22" s="24" t="s">
        <v>113</v>
      </c>
      <c r="E22" s="16" t="s">
        <v>90</v>
      </c>
      <c r="F22" s="15"/>
    </row>
    <row r="23" spans="1:6" x14ac:dyDescent="0.2">
      <c r="A23" s="15"/>
      <c r="B23" s="20" t="s">
        <v>55</v>
      </c>
      <c r="C23" s="16" t="s">
        <v>135</v>
      </c>
      <c r="D23" s="16" t="s">
        <v>136</v>
      </c>
      <c r="E23" s="16" t="s">
        <v>137</v>
      </c>
      <c r="F23" s="15"/>
    </row>
    <row r="24" spans="1:6" x14ac:dyDescent="0.2">
      <c r="A24" s="15"/>
      <c r="B24" s="20" t="s">
        <v>56</v>
      </c>
      <c r="C24" s="20" t="s">
        <v>161</v>
      </c>
      <c r="D24" s="20" t="s">
        <v>163</v>
      </c>
      <c r="E24" s="20" t="s">
        <v>162</v>
      </c>
      <c r="F24" s="15"/>
    </row>
    <row r="25" spans="1:6" x14ac:dyDescent="0.2">
      <c r="A25" s="15"/>
      <c r="B25" s="20" t="s">
        <v>57</v>
      </c>
      <c r="C25" s="16" t="s">
        <v>10</v>
      </c>
      <c r="D25" s="16" t="s">
        <v>114</v>
      </c>
      <c r="E25" s="16" t="s">
        <v>138</v>
      </c>
      <c r="F25" s="15"/>
    </row>
    <row r="26" spans="1:6" x14ac:dyDescent="0.2">
      <c r="A26" s="15"/>
      <c r="B26" s="20" t="s">
        <v>58</v>
      </c>
      <c r="C26" s="16" t="s">
        <v>14</v>
      </c>
      <c r="D26" s="16" t="s">
        <v>115</v>
      </c>
      <c r="E26" s="16" t="s">
        <v>139</v>
      </c>
      <c r="F26" s="15"/>
    </row>
    <row r="27" spans="1:6" x14ac:dyDescent="0.2">
      <c r="A27" s="15"/>
      <c r="B27" s="20" t="s">
        <v>72</v>
      </c>
      <c r="C27" s="16" t="s">
        <v>26</v>
      </c>
      <c r="D27" s="16" t="s">
        <v>116</v>
      </c>
      <c r="E27" s="16" t="s">
        <v>140</v>
      </c>
      <c r="F27" s="15"/>
    </row>
    <row r="28" spans="1:6" x14ac:dyDescent="0.2">
      <c r="A28" s="15"/>
      <c r="B28" s="15"/>
      <c r="C28" s="15"/>
      <c r="D28" s="15"/>
      <c r="E28" s="15"/>
      <c r="F28" s="15"/>
    </row>
    <row r="29" spans="1:6" x14ac:dyDescent="0.2">
      <c r="A29" s="15"/>
      <c r="B29" s="20" t="s">
        <v>61</v>
      </c>
      <c r="C29" s="16" t="s">
        <v>7</v>
      </c>
      <c r="D29" s="16" t="s">
        <v>110</v>
      </c>
      <c r="E29" s="16" t="s">
        <v>91</v>
      </c>
      <c r="F29" s="15"/>
    </row>
    <row r="30" spans="1:6" x14ac:dyDescent="0.2">
      <c r="A30" s="15"/>
      <c r="B30" s="20" t="s">
        <v>62</v>
      </c>
      <c r="C30" s="16" t="s">
        <v>8</v>
      </c>
      <c r="D30" s="16" t="s">
        <v>111</v>
      </c>
      <c r="E30" s="16" t="s">
        <v>92</v>
      </c>
      <c r="F30" s="15"/>
    </row>
    <row r="31" spans="1:6" x14ac:dyDescent="0.2">
      <c r="A31" s="15"/>
      <c r="B31" s="20" t="s">
        <v>63</v>
      </c>
      <c r="C31" s="16" t="s">
        <v>141</v>
      </c>
      <c r="D31" s="16" t="s">
        <v>141</v>
      </c>
      <c r="E31" s="16" t="s">
        <v>141</v>
      </c>
      <c r="F31" s="15"/>
    </row>
    <row r="32" spans="1:6" x14ac:dyDescent="0.2">
      <c r="A32" s="15"/>
      <c r="B32" s="20" t="s">
        <v>64</v>
      </c>
      <c r="C32" s="16" t="s">
        <v>165</v>
      </c>
      <c r="D32" s="16" t="s">
        <v>165</v>
      </c>
      <c r="E32" s="16" t="s">
        <v>165</v>
      </c>
      <c r="F32" s="15"/>
    </row>
    <row r="33" spans="1:6" x14ac:dyDescent="0.2">
      <c r="A33" s="15"/>
      <c r="B33" s="20" t="s">
        <v>73</v>
      </c>
      <c r="C33" s="16" t="s">
        <v>164</v>
      </c>
      <c r="D33" s="16" t="s">
        <v>164</v>
      </c>
      <c r="E33" s="16" t="s">
        <v>164</v>
      </c>
      <c r="F33" s="15"/>
    </row>
    <row r="34" spans="1:6" x14ac:dyDescent="0.2">
      <c r="A34" s="15"/>
      <c r="B34" s="20" t="s">
        <v>74</v>
      </c>
      <c r="C34" s="16" t="s">
        <v>142</v>
      </c>
      <c r="D34" s="16" t="s">
        <v>143</v>
      </c>
      <c r="E34" s="16" t="s">
        <v>144</v>
      </c>
      <c r="F34" s="15"/>
    </row>
    <row r="35" spans="1:6" x14ac:dyDescent="0.2">
      <c r="A35" s="15"/>
      <c r="B35" s="20" t="s">
        <v>65</v>
      </c>
      <c r="C35" s="16" t="s">
        <v>147</v>
      </c>
      <c r="D35" s="16" t="s">
        <v>146</v>
      </c>
      <c r="E35" s="16" t="s">
        <v>145</v>
      </c>
      <c r="F35" s="15"/>
    </row>
    <row r="36" spans="1:6" x14ac:dyDescent="0.2">
      <c r="A36" s="15"/>
      <c r="B36" s="20" t="s">
        <v>66</v>
      </c>
      <c r="C36" s="16" t="s">
        <v>168</v>
      </c>
      <c r="D36" s="16" t="s">
        <v>173</v>
      </c>
      <c r="E36" s="16" t="s">
        <v>177</v>
      </c>
      <c r="F36" s="15"/>
    </row>
    <row r="37" spans="1:6" x14ac:dyDescent="0.2">
      <c r="A37" s="15"/>
      <c r="B37" s="20" t="s">
        <v>166</v>
      </c>
      <c r="C37" s="16" t="s">
        <v>169</v>
      </c>
      <c r="D37" s="16" t="s">
        <v>174</v>
      </c>
      <c r="E37" s="16" t="s">
        <v>178</v>
      </c>
      <c r="F37" s="15"/>
    </row>
    <row r="38" spans="1:6" x14ac:dyDescent="0.2">
      <c r="A38" s="15"/>
      <c r="B38" s="20" t="s">
        <v>167</v>
      </c>
      <c r="C38" s="16" t="s">
        <v>170</v>
      </c>
      <c r="D38" s="16" t="s">
        <v>175</v>
      </c>
      <c r="E38" s="16" t="s">
        <v>179</v>
      </c>
      <c r="F38" s="15"/>
    </row>
    <row r="39" spans="1:6" x14ac:dyDescent="0.2">
      <c r="A39" s="15"/>
      <c r="B39" s="20" t="s">
        <v>172</v>
      </c>
      <c r="C39" s="16" t="s">
        <v>171</v>
      </c>
      <c r="D39" s="16" t="s">
        <v>176</v>
      </c>
      <c r="E39" s="16" t="s">
        <v>180</v>
      </c>
      <c r="F39" s="15"/>
    </row>
    <row r="40" spans="1:6" x14ac:dyDescent="0.2">
      <c r="A40" s="15"/>
      <c r="B40" s="20" t="s">
        <v>67</v>
      </c>
      <c r="C40" s="16" t="s">
        <v>187</v>
      </c>
      <c r="D40" s="16" t="s">
        <v>213</v>
      </c>
      <c r="E40" s="16" t="s">
        <v>218</v>
      </c>
      <c r="F40" s="15"/>
    </row>
    <row r="41" spans="1:6" x14ac:dyDescent="0.2">
      <c r="A41" s="15"/>
      <c r="B41" s="20" t="s">
        <v>68</v>
      </c>
      <c r="C41" s="16" t="s">
        <v>188</v>
      </c>
      <c r="D41" s="16" t="s">
        <v>214</v>
      </c>
      <c r="E41" s="16" t="s">
        <v>219</v>
      </c>
      <c r="F41" s="15"/>
    </row>
    <row r="42" spans="1:6" x14ac:dyDescent="0.2">
      <c r="A42" s="15"/>
      <c r="B42" s="20" t="s">
        <v>148</v>
      </c>
      <c r="C42" s="16" t="s">
        <v>189</v>
      </c>
      <c r="D42" s="16" t="s">
        <v>215</v>
      </c>
      <c r="E42" s="16" t="s">
        <v>220</v>
      </c>
      <c r="F42" s="15"/>
    </row>
    <row r="43" spans="1:6" ht="25.5" x14ac:dyDescent="0.2">
      <c r="A43" s="15"/>
      <c r="B43" s="20" t="s">
        <v>185</v>
      </c>
      <c r="C43" s="16" t="s">
        <v>190</v>
      </c>
      <c r="D43" s="16" t="s">
        <v>216</v>
      </c>
      <c r="E43" s="16" t="s">
        <v>221</v>
      </c>
      <c r="F43" s="15"/>
    </row>
    <row r="44" spans="1:6" x14ac:dyDescent="0.2">
      <c r="A44" s="15"/>
      <c r="B44" s="20" t="s">
        <v>186</v>
      </c>
      <c r="C44" s="16" t="s">
        <v>191</v>
      </c>
      <c r="D44" s="16" t="s">
        <v>217</v>
      </c>
      <c r="E44" s="16" t="s">
        <v>222</v>
      </c>
      <c r="F44" s="15"/>
    </row>
    <row r="45" spans="1:6" x14ac:dyDescent="0.2">
      <c r="A45" s="15"/>
      <c r="B45" s="20" t="s">
        <v>184</v>
      </c>
      <c r="C45" s="16" t="s">
        <v>11</v>
      </c>
      <c r="D45" s="16" t="s">
        <v>131</v>
      </c>
      <c r="E45" s="16" t="s">
        <v>93</v>
      </c>
      <c r="F45" s="15"/>
    </row>
    <row r="46" spans="1:6" x14ac:dyDescent="0.2">
      <c r="A46" s="15"/>
      <c r="B46" s="20" t="s">
        <v>183</v>
      </c>
      <c r="C46" s="16" t="s">
        <v>12</v>
      </c>
      <c r="D46" s="16" t="s">
        <v>130</v>
      </c>
      <c r="E46" s="16" t="s">
        <v>94</v>
      </c>
      <c r="F46" s="15"/>
    </row>
    <row r="47" spans="1:6" x14ac:dyDescent="0.2">
      <c r="A47" s="15"/>
      <c r="B47" s="20" t="s">
        <v>182</v>
      </c>
      <c r="C47" s="16" t="s">
        <v>13</v>
      </c>
      <c r="D47" s="16" t="s">
        <v>130</v>
      </c>
      <c r="E47" s="16" t="s">
        <v>95</v>
      </c>
      <c r="F47" s="15"/>
    </row>
    <row r="48" spans="1:6" x14ac:dyDescent="0.2">
      <c r="A48" s="15"/>
      <c r="B48" s="20" t="s">
        <v>69</v>
      </c>
      <c r="C48" s="16" t="s">
        <v>15</v>
      </c>
      <c r="D48" s="16" t="s">
        <v>129</v>
      </c>
      <c r="E48" s="16" t="s">
        <v>96</v>
      </c>
      <c r="F48" s="15"/>
    </row>
    <row r="49" spans="1:6" x14ac:dyDescent="0.2">
      <c r="A49" s="15"/>
      <c r="B49" s="20" t="s">
        <v>70</v>
      </c>
      <c r="C49" s="16" t="s">
        <v>16</v>
      </c>
      <c r="D49" s="16" t="s">
        <v>117</v>
      </c>
      <c r="E49" s="16" t="s">
        <v>97</v>
      </c>
      <c r="F49" s="15"/>
    </row>
    <row r="50" spans="1:6" x14ac:dyDescent="0.2">
      <c r="A50" s="15"/>
      <c r="B50" s="20" t="s">
        <v>71</v>
      </c>
      <c r="C50" s="16" t="s">
        <v>17</v>
      </c>
      <c r="D50" s="16" t="s">
        <v>118</v>
      </c>
      <c r="E50" s="16" t="s">
        <v>98</v>
      </c>
      <c r="F50" s="15"/>
    </row>
    <row r="51" spans="1:6" x14ac:dyDescent="0.2">
      <c r="A51" s="15"/>
      <c r="B51" s="20" t="s">
        <v>75</v>
      </c>
      <c r="C51" s="16" t="s">
        <v>18</v>
      </c>
      <c r="D51" s="16" t="s">
        <v>119</v>
      </c>
      <c r="E51" s="16" t="s">
        <v>99</v>
      </c>
      <c r="F51" s="15"/>
    </row>
    <row r="52" spans="1:6" x14ac:dyDescent="0.2">
      <c r="A52" s="15"/>
      <c r="B52" s="20" t="s">
        <v>76</v>
      </c>
      <c r="C52" s="16" t="s">
        <v>19</v>
      </c>
      <c r="D52" s="16" t="s">
        <v>120</v>
      </c>
      <c r="E52" s="16" t="s">
        <v>100</v>
      </c>
      <c r="F52" s="15"/>
    </row>
    <row r="53" spans="1:6" x14ac:dyDescent="0.2">
      <c r="A53" s="15"/>
      <c r="B53" s="20" t="s">
        <v>77</v>
      </c>
      <c r="C53" s="16" t="s">
        <v>20</v>
      </c>
      <c r="D53" s="16" t="s">
        <v>121</v>
      </c>
      <c r="E53" s="16" t="s">
        <v>101</v>
      </c>
      <c r="F53" s="15"/>
    </row>
    <row r="54" spans="1:6" x14ac:dyDescent="0.2">
      <c r="A54" s="15"/>
      <c r="B54" s="20" t="s">
        <v>78</v>
      </c>
      <c r="C54" s="16" t="s">
        <v>21</v>
      </c>
      <c r="D54" s="16" t="s">
        <v>122</v>
      </c>
      <c r="E54" s="16" t="s">
        <v>102</v>
      </c>
      <c r="F54" s="15"/>
    </row>
    <row r="55" spans="1:6" x14ac:dyDescent="0.2">
      <c r="A55" s="15"/>
      <c r="B55" s="20" t="s">
        <v>79</v>
      </c>
      <c r="C55" s="16" t="s">
        <v>22</v>
      </c>
      <c r="D55" s="16" t="s">
        <v>123</v>
      </c>
      <c r="E55" s="16" t="s">
        <v>103</v>
      </c>
      <c r="F55" s="15"/>
    </row>
    <row r="56" spans="1:6" ht="25.5" x14ac:dyDescent="0.2">
      <c r="A56" s="15"/>
      <c r="B56" s="20" t="s">
        <v>80</v>
      </c>
      <c r="C56" s="16" t="s">
        <v>23</v>
      </c>
      <c r="D56" s="16" t="s">
        <v>124</v>
      </c>
      <c r="E56" s="16" t="s">
        <v>104</v>
      </c>
      <c r="F56" s="15"/>
    </row>
    <row r="57" spans="1:6" ht="38.25" x14ac:dyDescent="0.2">
      <c r="A57" s="15"/>
      <c r="B57" s="20" t="s">
        <v>81</v>
      </c>
      <c r="C57" s="16" t="s">
        <v>24</v>
      </c>
      <c r="D57" s="16" t="s">
        <v>125</v>
      </c>
      <c r="E57" s="16" t="s">
        <v>105</v>
      </c>
      <c r="F57" s="15"/>
    </row>
    <row r="58" spans="1:6" ht="25.5" x14ac:dyDescent="0.2">
      <c r="A58" s="15"/>
      <c r="B58" s="20" t="s">
        <v>82</v>
      </c>
      <c r="C58" s="16" t="s">
        <v>25</v>
      </c>
      <c r="D58" s="16" t="s">
        <v>126</v>
      </c>
      <c r="E58" s="16" t="s">
        <v>106</v>
      </c>
      <c r="F58" s="15"/>
    </row>
    <row r="59" spans="1:6" x14ac:dyDescent="0.2">
      <c r="A59" s="15"/>
      <c r="B59" s="20" t="s">
        <v>83</v>
      </c>
      <c r="C59" s="16" t="s">
        <v>149</v>
      </c>
      <c r="D59" s="16" t="s">
        <v>150</v>
      </c>
      <c r="E59" s="16" t="s">
        <v>107</v>
      </c>
      <c r="F59" s="15"/>
    </row>
    <row r="60" spans="1:6" x14ac:dyDescent="0.2">
      <c r="A60" s="15"/>
      <c r="B60" s="20" t="s">
        <v>84</v>
      </c>
      <c r="C60" s="16" t="s">
        <v>27</v>
      </c>
      <c r="D60" s="16" t="s">
        <v>127</v>
      </c>
      <c r="E60" s="16" t="s">
        <v>108</v>
      </c>
      <c r="F60" s="15"/>
    </row>
    <row r="61" spans="1:6" x14ac:dyDescent="0.2">
      <c r="A61" s="15"/>
      <c r="B61" s="20" t="s">
        <v>85</v>
      </c>
      <c r="C61" s="16" t="s">
        <v>28</v>
      </c>
      <c r="D61" s="16" t="s">
        <v>128</v>
      </c>
      <c r="E61" s="16" t="s">
        <v>109</v>
      </c>
      <c r="F61" s="15"/>
    </row>
    <row r="62" spans="1:6" x14ac:dyDescent="0.2">
      <c r="A62" s="15"/>
      <c r="B62" s="15"/>
      <c r="C62" s="15"/>
      <c r="D62" s="15"/>
      <c r="E62" s="15"/>
      <c r="F62" s="15"/>
    </row>
    <row r="63" spans="1:6" x14ac:dyDescent="0.2">
      <c r="A63" s="15" t="s">
        <v>49</v>
      </c>
      <c r="B63" s="23" t="s">
        <v>86</v>
      </c>
      <c r="C63" s="19" t="s">
        <v>224</v>
      </c>
      <c r="D63" s="19" t="s">
        <v>225</v>
      </c>
      <c r="E63" s="19" t="s">
        <v>226</v>
      </c>
      <c r="F63" s="15"/>
    </row>
    <row r="64" spans="1:6" x14ac:dyDescent="0.2">
      <c r="A64" s="15"/>
      <c r="B64" s="15"/>
      <c r="C64" s="15"/>
      <c r="D64" s="15"/>
      <c r="E64" s="15"/>
      <c r="F64" s="15"/>
    </row>
    <row r="65" spans="1:6" x14ac:dyDescent="0.2">
      <c r="A65" s="15"/>
      <c r="B65" s="15"/>
      <c r="C65" s="15"/>
      <c r="D65" s="15"/>
      <c r="E65" s="15"/>
      <c r="F65" s="15"/>
    </row>
    <row r="66" spans="1:6" ht="38.25" x14ac:dyDescent="0.2">
      <c r="A66" s="21"/>
      <c r="B66" s="20" t="s">
        <v>43</v>
      </c>
      <c r="C66" s="40" t="s">
        <v>2</v>
      </c>
      <c r="D66" s="20" t="s">
        <v>208</v>
      </c>
      <c r="E66" s="20" t="s">
        <v>204</v>
      </c>
      <c r="F66" s="15"/>
    </row>
    <row r="67" spans="1:6" x14ac:dyDescent="0.2">
      <c r="A67" s="15"/>
      <c r="B67" s="20" t="s">
        <v>44</v>
      </c>
      <c r="C67" s="40" t="s">
        <v>3</v>
      </c>
      <c r="D67" s="13" t="s">
        <v>209</v>
      </c>
      <c r="E67" s="13" t="s">
        <v>205</v>
      </c>
      <c r="F67" s="15"/>
    </row>
    <row r="68" spans="1:6" x14ac:dyDescent="0.2">
      <c r="A68" s="15"/>
      <c r="B68" s="20" t="s">
        <v>45</v>
      </c>
      <c r="C68" s="40" t="s">
        <v>4</v>
      </c>
      <c r="D68" s="13" t="s">
        <v>210</v>
      </c>
      <c r="E68" s="13" t="s">
        <v>206</v>
      </c>
      <c r="F68" s="15"/>
    </row>
    <row r="69" spans="1:6" x14ac:dyDescent="0.2">
      <c r="A69" s="15"/>
      <c r="B69" s="20" t="s">
        <v>46</v>
      </c>
      <c r="C69" s="40" t="s">
        <v>5</v>
      </c>
      <c r="D69" s="13" t="s">
        <v>211</v>
      </c>
      <c r="E69" s="13" t="s">
        <v>207</v>
      </c>
      <c r="F69" s="15"/>
    </row>
    <row r="70" spans="1:6" x14ac:dyDescent="0.2">
      <c r="A70" s="15"/>
      <c r="B70" s="20" t="s">
        <v>181</v>
      </c>
      <c r="C70" s="36"/>
      <c r="D70" s="13"/>
      <c r="E70" s="13"/>
      <c r="F70" s="15"/>
    </row>
    <row r="71" spans="1:6" x14ac:dyDescent="0.2">
      <c r="A71" s="15"/>
      <c r="B71" s="15"/>
      <c r="C71" s="15"/>
      <c r="D71" s="15"/>
      <c r="E71" s="15"/>
      <c r="F71" s="15"/>
    </row>
    <row r="72" spans="1:6" x14ac:dyDescent="0.2">
      <c r="A72" s="15" t="s">
        <v>48</v>
      </c>
      <c r="B72" s="20" t="s">
        <v>47</v>
      </c>
      <c r="C72" s="16" t="s">
        <v>29</v>
      </c>
      <c r="D72" s="16" t="s">
        <v>133</v>
      </c>
      <c r="E72" s="16" t="s">
        <v>212</v>
      </c>
      <c r="F72" s="15"/>
    </row>
    <row r="73" spans="1:6" x14ac:dyDescent="0.2">
      <c r="A73" s="15"/>
      <c r="B73" s="15"/>
      <c r="C73" s="15"/>
      <c r="D73" s="15"/>
      <c r="E73" s="15"/>
      <c r="F73" s="1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1023</Benutzerdefinierte_x0020_ID>
    <Titel_RM xmlns="9d1f6504-c754-4527-a358-047ce8521f96">Enquista da structura da la populaziun – dumber da las linguas principalas, 2024</Titel_RM>
    <Titel_DE xmlns="9d1f6504-c754-4527-a358-047ce8521f96">Strukturerhebung Bevölkerung - Anzahl Hauptsprachen, 2024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numero di lingue principali, 2024</Titel_IT>
  </documentManagement>
</p:properties>
</file>

<file path=customXml/itemProps1.xml><?xml version="1.0" encoding="utf-8"?>
<ds:datastoreItem xmlns:ds="http://schemas.openxmlformats.org/officeDocument/2006/customXml" ds:itemID="{22866A1E-BA36-48B3-AE70-15730BD8C4B8}"/>
</file>

<file path=customXml/itemProps2.xml><?xml version="1.0" encoding="utf-8"?>
<ds:datastoreItem xmlns:ds="http://schemas.openxmlformats.org/officeDocument/2006/customXml" ds:itemID="{9A531CAA-1362-4802-853B-D5B2FBC84F78}"/>
</file>

<file path=customXml/itemProps3.xml><?xml version="1.0" encoding="utf-8"?>
<ds:datastoreItem xmlns:ds="http://schemas.openxmlformats.org/officeDocument/2006/customXml" ds:itemID="{E80ADB10-3115-4B22-8A08-31950E7DD2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Graubünden</vt:lpstr>
      <vt:lpstr>Uebersetzungen</vt:lpstr>
      <vt:lpstr>Graubünden!Druckbereich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Anzahl Hauptsprache</dc:title>
  <dc:creator>Luzius.Stricker@awt.gr.ch</dc:creator>
  <cp:lastModifiedBy>Monstein Urs (AWT GR)</cp:lastModifiedBy>
  <cp:lastPrinted>2018-12-06T18:35:59Z</cp:lastPrinted>
  <dcterms:created xsi:type="dcterms:W3CDTF">2012-06-17T15:40:31Z</dcterms:created>
  <dcterms:modified xsi:type="dcterms:W3CDTF">2026-02-23T07:10:19Z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2026-01-21T09:25:30Z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c586e7b7-25e6-4873-9820-c275d4c864ad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